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Einstellungen" sheetId="2" state="visible" r:id="rId4"/>
    <sheet name="Schichten" sheetId="3" state="visible" r:id="rId5"/>
    <sheet name="Muster" sheetId="4" state="visible" r:id="rId6"/>
    <sheet name="Jahr" sheetId="5" state="visible" r:id="rId7"/>
    <sheet name="Auswertung" sheetId="6" state="visible" r:id="rId8"/>
    <sheet name="Monatsplan" sheetId="7" state="visible" r:id="rId9"/>
  </sheets>
  <definedNames>
    <definedName function="false" hidden="false" localSheetId="6" name="_xlnm.Print_Titles" vbProcedure="false">Monatsplan!$4:$5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<sst xmlns="http://schemas.openxmlformats.org/spreadsheetml/2006/main" count="254" uniqueCount="138">
  <si>
    <t xml:space="preserve">Schichtplan-Vorlage für Excel</t>
  </si>
  <si>
    <t xml:space="preserve">mein-schichtplan.ch · Version 1.0 · Oktober 2026 · kostenlos, ohne Makros</t>
  </si>
  <si>
    <t xml:space="preserve">So geht es</t>
  </si>
  <si>
    <t xml:space="preserve">1. Blatt Schichten: Schichtarten mit Code, Beginn, Ende und unbezahlter Pause anpassen. Arbeitszeit und Nachtstunden rechnen sich selbst.</t>
  </si>
  <si>
    <t xml:space="preserve">2. Blatt Einstellungen: Jahr, Zyklusbeginn (am besten ein Montag) und Zykluslänge in Tagen eintragen.</t>
  </si>
  <si>
    <t xml:space="preserve">3. Blatt Muster: Für jede Gruppe den Zyklus ab Tag 1 eintragen (Auswahlliste). Darunter zeigt die Abdeckung, ob jede Schicht jeden Tag besetzt ist.</t>
  </si>
  <si>
    <t xml:space="preserve">4. Blatt Jahr: Der Jahresplan je Gruppe entsteht automatisch, mit Ruhezeit, Tagen und Nächten in Folge und freien Sonntagen. Nichts eintragen.</t>
  </si>
  <si>
    <t xml:space="preserve">5. Blatt Auswertung: Schichttage, Stunden, Ø Wochenstunden, Nachtdienste und Prüfwerte je Gruppe für das ganze Jahr.</t>
  </si>
  <si>
    <t xml:space="preserve">6. Blatt Monatsplan: Monat in den Einstellungen wählen, Namen und Gruppe eintragen. Ferien und Tausch direkt in der Zelle überschreiben.</t>
  </si>
  <si>
    <t xml:space="preserve">Farben</t>
  </si>
  <si>
    <t xml:space="preserve">Gelbe Zellen mit blauer Schrift sind Eingaben. Alle anderen Zellen enthalten Formeln.</t>
  </si>
  <si>
    <t xml:space="preserve">Rot hinterlegt: Ruhezeit unter 11 Stunden (Blatt Jahr), unterbesetzte Schicht (Monatsplan) oder Wert über dem gesetzlichen Rahmen (Auswertung).</t>
  </si>
  <si>
    <t xml:space="preserve">Beispiel in der Vorlage</t>
  </si>
  <si>
    <t xml:space="preserve">Vier Gruppen im 2-2-2-2-Rhythmus: zwei Frühschichten, zwei Spätschichten, zwei Nachtschichten, zwei freie Tage. 8-Stunden-Schichten an sieben Tagen, Vorwärtsrotation, Ø 42 Stunden pro Woche. Das Modell ist beschrieben unter mein-schichtplan.ch/schichtmodelle/dreischicht-vollkonti-4/</t>
  </si>
  <si>
    <t xml:space="preserve">Annahmen</t>
  </si>
  <si>
    <t xml:space="preserve">Eine Schicht gehört zum Datum, an dem sie beginnt. Eine Nachtschicht von Montag 22 Uhr bis Dienstag 6 Uhr steht also am Montag.</t>
  </si>
  <si>
    <t xml:space="preserve">Nachtzeit 23 bis 6 Uhr nach Arbeitsgesetz; in den Einstellungen änderbar, wenn der Tagesrahmen verschoben ist.</t>
  </si>
  <si>
    <t xml:space="preserve">Ein Schichttag ist jeder Tag mit einem Code, dessen Arbeitszeit grösser als 0 ist. Ein Nachtdienst ist jede Schicht mit Nachtstunden.</t>
  </si>
  <si>
    <t xml:space="preserve">Ruhezeit = Beginn der Schicht minus Ende der vorherigen Schicht. Am 1. Januar ist die Vorjahresschicht nicht bekannt; die erste Ruhezeit fehlt deshalb.</t>
  </si>
  <si>
    <t xml:space="preserve">Wichtig</t>
  </si>
  <si>
    <t xml:space="preserve">Die Vorlage hilft beim Planen und Prüfen. Sie ersetzt weder eine Bewilligung für Nacht- oder Sonntagsarbeit noch die Prüfung von Gesamtarbeitsvertrag und Branchenregeln. Allgemeine Information, keine Rechtsberatung. Stand: Oktober 2026.</t>
  </si>
  <si>
    <t xml:space="preserve">Code-Legende</t>
  </si>
  <si>
    <t xml:space="preserve">Einstellungen</t>
  </si>
  <si>
    <t xml:space="preserve">Jahr</t>
  </si>
  <si>
    <t xml:space="preserve">Planungsjahr für Jahresplan und Monatsplan</t>
  </si>
  <si>
    <t xml:space="preserve">Monat für Monatsplan (1–12)</t>
  </si>
  <si>
    <t xml:space="preserve">Welcher Monat im Blatt Monatsplan erscheint</t>
  </si>
  <si>
    <t xml:space="preserve">Zyklusbeginn (Tag 1 des Musters)</t>
  </si>
  <si>
    <t xml:space="preserve">Am besten ein Montag. Tag 1 im Blatt Muster fällt auf dieses Datum.</t>
  </si>
  <si>
    <t xml:space="preserve">Zykluslänge in Tagen (1–56)</t>
  </si>
  <si>
    <t xml:space="preserve">Anzahl Tage, nach denen sich das Muster wiederholt</t>
  </si>
  <si>
    <t xml:space="preserve">Nachtzeit Beginn</t>
  </si>
  <si>
    <t xml:space="preserve">Arbeitsgesetz: Nachtarbeit 23–6 Uhr, wenn der Tagesrahmen nicht verschoben ist</t>
  </si>
  <si>
    <t xml:space="preserve">Nachtzeit Ende</t>
  </si>
  <si>
    <t xml:space="preserve">Gilt für die Spalte Nachtstunden im Blatt Schichten</t>
  </si>
  <si>
    <t xml:space="preserve">Gruppen</t>
  </si>
  <si>
    <t xml:space="preserve">A</t>
  </si>
  <si>
    <t xml:space="preserve">Fünf Gruppen sind vorbereitet. Nicht benötigte Gruppen im Blatt Muster leer lassen.</t>
  </si>
  <si>
    <t xml:space="preserve">B</t>
  </si>
  <si>
    <t xml:space="preserve">C</t>
  </si>
  <si>
    <t xml:space="preserve">D</t>
  </si>
  <si>
    <t xml:space="preserve">E</t>
  </si>
  <si>
    <t xml:space="preserve">Schichtarten</t>
  </si>
  <si>
    <t xml:space="preserve">Gelbe Zellen ausfüllen. Arbeitszeit und Nachtstunden rechnen sich selbst. Schichten über Mitternacht: Ende kleiner als Beginn eintragen (z. B. 22:00 bis 06:00).</t>
  </si>
  <si>
    <t xml:space="preserve">Code</t>
  </si>
  <si>
    <t xml:space="preserve">Bezeichnung</t>
  </si>
  <si>
    <t xml:space="preserve">Beginn</t>
  </si>
  <si>
    <t xml:space="preserve">Ende</t>
  </si>
  <si>
    <t xml:space="preserve">Unbezahlte Pause (Min.)</t>
  </si>
  <si>
    <t xml:space="preserve">Arbeitszeit (h)</t>
  </si>
  <si>
    <t xml:space="preserve">Nachtstunden (h)</t>
  </si>
  <si>
    <t xml:space="preserve">F</t>
  </si>
  <si>
    <t xml:space="preserve">Frühschicht</t>
  </si>
  <si>
    <t xml:space="preserve">S</t>
  </si>
  <si>
    <t xml:space="preserve">Spätschicht</t>
  </si>
  <si>
    <t xml:space="preserve">N</t>
  </si>
  <si>
    <t xml:space="preserve">Nachtschicht</t>
  </si>
  <si>
    <t xml:space="preserve">T12</t>
  </si>
  <si>
    <t xml:space="preserve">Tagschicht 12 h</t>
  </si>
  <si>
    <t xml:space="preserve">N12</t>
  </si>
  <si>
    <t xml:space="preserve">Nachtschicht 12 h</t>
  </si>
  <si>
    <t xml:space="preserve">-</t>
  </si>
  <si>
    <t xml:space="preserve">Frei</t>
  </si>
  <si>
    <t xml:space="preserve">U</t>
  </si>
  <si>
    <t xml:space="preserve">Ferien / Absenz</t>
  </si>
  <si>
    <t xml:space="preserve">Hinweise: Ist die Pause bezahlt oder darf der Arbeitsplatz nicht verlassen werden, zählt sie als Arbeitszeit (Pause = 0). Pausen nach Art. 15 ArG: bei mehr als 5,5 h 15 Min., mehr als 7 h 30 Min., mehr als 9 h 1 Std. Nachtstunden sind brutto (ohne Pausenabzug). Codes mit Arbeitszeit 0 (Frei, Ferien) zählen nicht als Schichttag.</t>
  </si>
  <si>
    <t xml:space="preserve">Schichtmuster je Gruppe</t>
  </si>
  <si>
    <t xml:space="preserve">Je Gruppe einen Zyklus eintragen, ab Tag 1. Nur die Tage bis zur Zykluslänge (Einstellungen) zählen. Beispiel: Vier Gruppen im 2-2-2-2-Rhythmus (zwei Früh, zwei Spät, zwei Nacht, zwei frei), um je zwei Tage versetzt.</t>
  </si>
  <si>
    <t xml:space="preserve">Tag</t>
  </si>
  <si>
    <t xml:space="preserve">Wochentag</t>
  </si>
  <si>
    <t xml:space="preserve">Gruppe A</t>
  </si>
  <si>
    <t xml:space="preserve">Gruppe B</t>
  </si>
  <si>
    <t xml:space="preserve">Gruppe C</t>
  </si>
  <si>
    <t xml:space="preserve">Gruppe D</t>
  </si>
  <si>
    <t xml:space="preserve">Gruppe E</t>
  </si>
  <si>
    <t xml:space="preserve">Abdeckung je Tag (Anzahl Gruppen)</t>
  </si>
  <si>
    <t xml:space="preserve">Ø Wochenstunden je Gruppe</t>
  </si>
  <si>
    <t xml:space="preserve">Jahresplan je Gruppe (rechnet sich aus Muster und Einstellungen)</t>
  </si>
  <si>
    <t xml:space="preserve">Datum</t>
  </si>
  <si>
    <t xml:space="preserve">Monat</t>
  </si>
  <si>
    <t xml:space="preserve">Std.</t>
  </si>
  <si>
    <t xml:space="preserve">Nacht-Std.</t>
  </si>
  <si>
    <t xml:space="preserve">Letztes Ende</t>
  </si>
  <si>
    <t xml:space="preserve">Ruhezeit (h)</t>
  </si>
  <si>
    <t xml:space="preserve">Tage in Folge</t>
  </si>
  <si>
    <t xml:space="preserve">Nächte in Folge</t>
  </si>
  <si>
    <t xml:space="preserve">Sonntag frei</t>
  </si>
  <si>
    <t xml:space="preserve">Auswertung je Gruppe</t>
  </si>
  <si>
    <t xml:space="preserve">Gruppe</t>
  </si>
  <si>
    <t xml:space="preserve">Schichttage</t>
  </si>
  <si>
    <t xml:space="preserve">Arbeitsstunden</t>
  </si>
  <si>
    <t xml:space="preserve">Ø Std./Woche</t>
  </si>
  <si>
    <t xml:space="preserve">Nachtdienste</t>
  </si>
  <si>
    <t xml:space="preserve">Nachtstunden</t>
  </si>
  <si>
    <t xml:space="preserve">Kürzeste Ruhezeit (h)</t>
  </si>
  <si>
    <t xml:space="preserve">Ruhezeiten unter 11 h</t>
  </si>
  <si>
    <t xml:space="preserve">Max. Tage in Folge</t>
  </si>
  <si>
    <t xml:space="preserve">Max. Nächte in Folge</t>
  </si>
  <si>
    <t xml:space="preserve">Freie Sonntage (6–16 Uhr)</t>
  </si>
  <si>
    <t xml:space="preserve">So lesen Sie die Werte (Arbeitsgesetz Schweiz, Stand Oktober 2026, ohne Gewähr):</t>
  </si>
  <si>
    <t xml:space="preserve">• Ruhezeit: mindestens 11 Stunden; einmal pro Woche bis auf 8 Stunden kürzbar, wenn der Durchschnitt über zwei Wochen 11 Stunden erreicht (Art. 15a ArG). Unter 8 h rot markiert.</t>
  </si>
  <si>
    <t xml:space="preserve">• Wöchentliche Höchstarbeitszeit: 45 Stunden in Industrie, Büro und Detailhandel-Grossbetrieben, 50 Stunden für die übrigen (Art. 9 ArG). Über 45 h rot markiert.</t>
  </si>
  <si>
    <t xml:space="preserve">• Rotation: In Systemen mit drei oder mehr Schichten vorwärts (Früh → Spät → Nacht), rückwärts nur auf schriftlichen Wunsch der Mehrheit (Art. 34 ArGV 1).</t>
  </si>
  <si>
    <t xml:space="preserve">• Freie Sonntage: Im ununterbrochenen Betrieb mindestens 26 freie Sonntage pro Jahr, als frei gilt 6 bis 16 Uhr (Art. 36–38 ArGV 1). Für andere Betriebe ist die Spalte eine Information.</t>
  </si>
  <si>
    <t xml:space="preserve">• Ab 25 Nächten pro Jahr gelten Pflichten zu medizinischer Untersuchung und Zeitzuschlag (Art. 17b und 17c ArG, Art. 31 ArGV 1).</t>
  </si>
  <si>
    <t xml:space="preserve">• Gesamtarbeitsverträge und Branchenregeln (ArGV 2) können abweichen. Eine Bewilligung für Nacht- oder Sonntagsarbeit ersetzt diese Tabelle nicht.</t>
  </si>
  <si>
    <t xml:space="preserve">Mehr: mein-schichtplan.ch/arbeitszeit-ruhezeit-schweiz/ und mein-schichtplan.ch/schichtplan-vorlagen/</t>
  </si>
  <si>
    <t xml:space="preserve">Arbeitsstunden je Monat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</si>
  <si>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</si>
  <si>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</si>
  <si>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</si>
  <si>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</si>
  <si>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</si>
  <si>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</si>
  <si>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</si>
  <si>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</si>
  <si>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</si>
  <si>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</si>
  <si>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</si>
  <si>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</si>
  <si>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Total</t>
  </si>
  <si>
    <t xml:space="preserve">Monat und Jahr im Blatt Einstellungen wählen. Namen und Gruppe eintragen; die Schichten kommen aus dem Jahresplan. Abweichungen (Ferien, Tausch) direkt überschreiben.</t>
  </si>
  <si>
    <t xml:space="preserve">Name</t>
  </si>
  <si>
    <t xml:space="preserve">Schicht-
tage</t>
  </si>
  <si>
    <t xml:space="preserve">Stunden</t>
  </si>
  <si>
    <t xml:space="preserve">Nacht-
dienste</t>
  </si>
  <si>
    <t xml:space="preserve">Nacht-
stunden</t>
  </si>
  <si>
    <t xml:space="preserve">Mitarbeiter/in 1</t>
  </si>
  <si>
    <t xml:space="preserve">Mitarbeiter/in 2</t>
  </si>
  <si>
    <t xml:space="preserve">Mitarbeiter/in 3</t>
  </si>
  <si>
    <t xml:space="preserve">Mitarbeiter/in 4</t>
  </si>
  <si>
    <t xml:space="preserve">Mitarbeiter/in 5</t>
  </si>
  <si>
    <t xml:space="preserve">Mitarbeiter/in 6</t>
  </si>
  <si>
    <t xml:space="preserve">Mitarbeiter/in 7</t>
  </si>
  <si>
    <t xml:space="preserve">Mitarbeiter/in 8</t>
  </si>
  <si>
    <t xml:space="preserve">Tagesbesetzung</t>
  </si>
  <si>
    <t xml:space="preserve">Soll</t>
  </si>
  <si>
    <t xml:space="preserve">Rot = weniger Personen eingeteilt als Soll. Schichttage zählen für den Steuerabzug Mehrkosten Verpflegung (siehe mein-schichtplan.ch/schichtzulagen-steuern/).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</si>
</sst>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dd\.mm\.yyyy"/>
    <numFmt numFmtId="167" formatCode="hh:mm"/>
    <numFmt numFmtId="168" formatCode="0.00"/>
    <numFmt numFmtId="169" formatCode="General"/>
    <numFmt numFmtId="170" formatCode="0.0"/>
    <numFmt numFmtId="171" formatCode="dd\.mm&quot;. &quot;hh:mm"/>
    <numFmt numFmtId="172" formatCode="#,##0.0"/>
    <numFmt numFmtId="173" formatCode="dd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3A57"/>
      <name val="Arial"/>
      <family val="0"/>
      <charset val="1"/>
    </font>
    <font>
      <sz val="11"/>
      <color rgb="FF6B7280"/>
      <name val="Arial"/>
      <family val="0"/>
      <charset val="1"/>
    </font>
    <font>
      <b val="true"/>
      <sz val="12"/>
      <color rgb="FF1B3A57"/>
      <name val="Arial"/>
      <family val="0"/>
      <charset val="1"/>
    </font>
    <font>
      <sz val="10"/>
      <color rgb="FF1F2937"/>
      <name val="Arial"/>
      <family val="0"/>
      <charset val="1"/>
    </font>
    <font>
      <sz val="11"/>
      <name val="Arial"/>
      <family val="0"/>
      <charset val="1"/>
    </font>
    <font>
      <b val="true"/>
      <sz val="14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374151"/>
      <name val="Arial"/>
      <family val="0"/>
      <charset val="1"/>
    </font>
    <font>
      <sz val="9"/>
      <color rgb="FF374151"/>
      <name val="Arial"/>
      <family val="0"/>
      <charset val="1"/>
    </font>
    <font>
      <sz val="8"/>
      <name val="Arial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B8"/>
        <bgColor rgb="FFFBE7A1"/>
      </patternFill>
    </fill>
    <fill>
      <patternFill patternType="solid">
        <fgColor rgb="FF1B3A57"/>
        <bgColor rgb="FF374151"/>
      </patternFill>
    </fill>
    <fill>
      <patternFill patternType="solid">
        <fgColor rgb="FFEEF1F5"/>
        <bgColor rgb="FFE5E7E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B"/>
      </left>
      <right style="thin">
        <color rgb="FFC9D1DB"/>
      </right>
      <top style="thin">
        <color rgb="FFC9D1DB"/>
      </top>
      <bottom style="thin">
        <color rgb="FFC9D1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1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3" fontId="1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b val="1"/>
        <color rgb="FF1F2937"/>
      </font>
      <fill>
        <patternFill>
          <bgColor rgb="FFF7D774"/>
        </patternFill>
      </fill>
    </dxf>
    <dxf>
      <font>
        <b val="1"/>
        <color rgb="FF1F2937"/>
      </font>
      <fill>
        <patternFill>
          <bgColor rgb="FFE8A33D"/>
        </patternFill>
      </fill>
    </dxf>
    <dxf>
      <font>
        <b val="1"/>
        <color rgb="FFFFFFFF"/>
      </font>
      <fill>
        <patternFill>
          <bgColor rgb="FF1B3A57"/>
        </patternFill>
      </fill>
    </dxf>
    <dxf>
      <font>
        <b val="1"/>
        <color rgb="FF1F2937"/>
      </font>
      <fill>
        <patternFill>
          <bgColor rgb="FFFBE7A1"/>
        </patternFill>
      </fill>
    </dxf>
    <dxf>
      <font>
        <b val="1"/>
        <color rgb="FFFFFFFF"/>
      </font>
      <fill>
        <patternFill>
          <bgColor rgb="FF2E5A80"/>
        </patternFill>
      </fill>
    </dxf>
    <dxf>
      <font>
        <b val="1"/>
        <color rgb="FF6B7280"/>
      </font>
      <fill>
        <patternFill>
          <bgColor rgb="FFEEF1F5"/>
        </patternFill>
      </fill>
    </dxf>
    <dxf>
      <font>
        <b val="1"/>
        <color rgb="FF1F2937"/>
      </font>
      <fill>
        <patternFill>
          <bgColor rgb="FFCDE7D8"/>
        </patternFill>
      </fill>
    </dxf>
    <dxf>
      <fill>
        <patternFill>
          <bgColor rgb="FFD1D5DB"/>
        </patternFill>
      </fill>
    </dxf>
    <dxf>
      <fill>
        <patternFill>
          <bgColor rgb="FFFECACA"/>
        </patternFill>
      </fill>
    </dxf>
    <dxf>
      <fill>
        <patternFill>
          <bgColor rgb="FFE5E7EB"/>
        </patternFill>
      </fill>
    </dxf>
    <dxf>
      <fill>
        <patternFill>
          <bgColor rgb="FFFDE68A"/>
        </patternFill>
      </fill>
    </dxf>
    <dxf>
      <fill>
        <patternFill>
          <bgColor rgb="FFE8A33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DE68A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1D5DB"/>
      <rgbColor rgb="FF808080"/>
      <rgbColor rgb="FF9999FF"/>
      <rgbColor rgb="FF993366"/>
      <rgbColor rgb="FFFFF4B8"/>
      <rgbColor rgb="FFEEF1F5"/>
      <rgbColor rgb="FF660066"/>
      <rgbColor rgb="FFFF8080"/>
      <rgbColor rgb="FF2E5A80"/>
      <rgbColor rgb="FFC9D1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DE7D8"/>
      <rgbColor rgb="FFFBE7A1"/>
      <rgbColor rgb="FF99CCFF"/>
      <rgbColor rgb="FFFECACA"/>
      <rgbColor rgb="FFCC99FF"/>
      <rgbColor rgb="FFF7D774"/>
      <rgbColor rgb="FF3366FF"/>
      <rgbColor rgb="FF33CCCC"/>
      <rgbColor rgb="FF99CC00"/>
      <rgbColor rgb="FFFFCC00"/>
      <rgbColor rgb="FFE8A33D"/>
      <rgbColor rgb="FFFF6600"/>
      <rgbColor rgb="FF6B7280"/>
      <rgbColor rgb="FF969696"/>
      <rgbColor rgb="FF1B3A57"/>
      <rgbColor rgb="FF339966"/>
      <rgbColor rgb="FF003300"/>
      <rgbColor rgb="FF333300"/>
      <rgbColor rgb="FF993300"/>
      <rgbColor rgb="FF993366"/>
      <rgbColor rgb="FF374151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7.75" hidden="false" customHeight="tru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27.75" hidden="false" customHeight="true" outlineLevel="0" collapsed="false">
      <c r="A7" s="4" t="s">
        <v>5</v>
      </c>
    </row>
    <row r="8" customFormat="false" ht="27.75" hidden="false" customHeight="true" outlineLevel="0" collapsed="false">
      <c r="A8" s="4" t="s">
        <v>6</v>
      </c>
    </row>
    <row r="9" customFormat="false" ht="27.75" hidden="false" customHeight="true" outlineLevel="0" collapsed="false">
      <c r="A9" s="4" t="s">
        <v>7</v>
      </c>
    </row>
    <row r="10" customFormat="false" ht="27.75" hidden="false" customHeight="true" outlineLevel="0" collapsed="false">
      <c r="A10" s="4" t="s">
        <v>8</v>
      </c>
    </row>
    <row r="11" customFormat="false" ht="15" hidden="false" customHeight="false" outlineLevel="0" collapsed="false">
      <c r="A11" s="4"/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4" t="s">
        <v>10</v>
      </c>
    </row>
    <row r="14" customFormat="false" ht="27.75" hidden="false" customHeight="true" outlineLevel="0" collapsed="false">
      <c r="A14" s="4" t="s">
        <v>11</v>
      </c>
    </row>
    <row r="15" customFormat="false" ht="15" hidden="false" customHeight="false" outlineLevel="0" collapsed="false">
      <c r="A15" s="4"/>
    </row>
    <row r="16" customFormat="false" ht="15" hidden="false" customHeight="false" outlineLevel="0" collapsed="false">
      <c r="A16" s="3" t="s">
        <v>12</v>
      </c>
    </row>
    <row r="17" customFormat="false" ht="27.75" hidden="false" customHeight="true" outlineLevel="0" collapsed="false">
      <c r="A17" s="4" t="s">
        <v>13</v>
      </c>
    </row>
    <row r="18" customFormat="false" ht="15" hidden="false" customHeight="false" outlineLevel="0" collapsed="false">
      <c r="A18" s="4"/>
    </row>
    <row r="19" customFormat="false" ht="15" hidden="false" customHeight="false" outlineLevel="0" collapsed="false">
      <c r="A19" s="3" t="s">
        <v>14</v>
      </c>
    </row>
    <row r="20" customFormat="false" ht="27.75" hidden="false" customHeight="true" outlineLevel="0" collapsed="false">
      <c r="A20" s="4" t="s">
        <v>15</v>
      </c>
    </row>
    <row r="21" customFormat="false" ht="15" hidden="false" customHeight="false" outlineLevel="0" collapsed="false">
      <c r="A21" s="4" t="s">
        <v>16</v>
      </c>
    </row>
    <row r="22" customFormat="false" ht="27.75" hidden="false" customHeight="true" outlineLevel="0" collapsed="false">
      <c r="A22" s="4" t="s">
        <v>17</v>
      </c>
    </row>
    <row r="23" customFormat="false" ht="27.75" hidden="false" customHeight="true" outlineLevel="0" collapsed="false">
      <c r="A23" s="4" t="s">
        <v>18</v>
      </c>
    </row>
    <row r="24" customFormat="false" ht="15" hidden="false" customHeight="false" outlineLevel="0" collapsed="false">
      <c r="A24" s="4"/>
    </row>
    <row r="25" customFormat="false" ht="15" hidden="false" customHeight="false" outlineLevel="0" collapsed="false">
      <c r="A25" s="3" t="s">
        <v>19</v>
      </c>
    </row>
    <row r="26" customFormat="false" ht="27.75" hidden="false" customHeight="true" outlineLevel="0" collapsed="false">
      <c r="A26" s="4" t="s">
        <v>20</v>
      </c>
    </row>
    <row r="30" customFormat="false" ht="15" hidden="false" customHeight="false" outlineLevel="0" collapsed="false">
      <c r="A30" s="5" t="s">
        <v>21</v>
      </c>
    </row>
    <row r="31" customFormat="false" ht="15" hidden="false" customHeight="false" outlineLevel="0" collapsed="false">
      <c r="A31" s="6" t="str">
        <f aca="false">Schichten!A5&amp;"  –  "&amp;Schichten!B5</f>
        <v>F  –  Frühschicht</v>
      </c>
    </row>
    <row r="32" customFormat="false" ht="15" hidden="false" customHeight="false" outlineLevel="0" collapsed="false">
      <c r="A32" s="6" t="str">
        <f aca="false">Schichten!A6&amp;"  –  "&amp;Schichten!B6</f>
        <v>S  –  Spätschicht</v>
      </c>
    </row>
    <row r="33" customFormat="false" ht="15" hidden="false" customHeight="false" outlineLevel="0" collapsed="false">
      <c r="A33" s="6" t="str">
        <f aca="false">Schichten!A7&amp;"  –  "&amp;Schichten!B7</f>
        <v>N  –  Nachtschicht</v>
      </c>
    </row>
    <row r="34" customFormat="false" ht="15" hidden="false" customHeight="false" outlineLevel="0" collapsed="false">
      <c r="A34" s="6" t="str">
        <f aca="false">Schichten!A8&amp;"  –  "&amp;Schichten!B8</f>
        <v>T12  –  Tagschicht 12 h</v>
      </c>
    </row>
    <row r="35" customFormat="false" ht="15" hidden="false" customHeight="false" outlineLevel="0" collapsed="false">
      <c r="A35" s="6" t="str">
        <f aca="false">Schichten!A9&amp;"  –  "&amp;Schichten!B9</f>
        <v>N12  –  Nachtschicht 12 h</v>
      </c>
    </row>
    <row r="36" customFormat="false" ht="15" hidden="false" customHeight="false" outlineLevel="0" collapsed="false">
      <c r="A36" s="6" t="str">
        <f aca="false">Schichten!A10&amp;"  –  "&amp;Schichten!B10</f>
        <v>-  –  Frei</v>
      </c>
    </row>
    <row r="37" customFormat="false" ht="15" hidden="false" customHeight="false" outlineLevel="0" collapsed="false">
      <c r="A37" s="6" t="str">
        <f aca="false">Schichten!A11&amp;"  –  "&amp;Schichten!B11</f>
        <v>U  –  Ferien / Absenz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6"/>
    <col collapsed="false" customWidth="true" hidden="false" outlineLevel="0" max="3" min="3" style="0" width="14"/>
    <col collapsed="false" customWidth="true" hidden="false" outlineLevel="0" max="4" min="4" style="0" width="80"/>
  </cols>
  <sheetData>
    <row r="1" customFormat="false" ht="17.35" hidden="false" customHeight="false" outlineLevel="0" collapsed="false">
      <c r="A1" s="7" t="s">
        <v>22</v>
      </c>
    </row>
    <row r="4" customFormat="false" ht="15" hidden="false" customHeight="false" outlineLevel="0" collapsed="false">
      <c r="A4" s="6" t="s">
        <v>23</v>
      </c>
      <c r="C4" s="8" t="n">
        <v>2027</v>
      </c>
      <c r="D4" s="9" t="s">
        <v>24</v>
      </c>
    </row>
    <row r="5" customFormat="false" ht="15" hidden="false" customHeight="false" outlineLevel="0" collapsed="false">
      <c r="A5" s="6" t="s">
        <v>25</v>
      </c>
      <c r="C5" s="8" t="n">
        <v>1</v>
      </c>
      <c r="D5" s="9" t="s">
        <v>26</v>
      </c>
    </row>
    <row r="6" customFormat="false" ht="15" hidden="false" customHeight="false" outlineLevel="0" collapsed="false">
      <c r="A6" s="6" t="s">
        <v>27</v>
      </c>
      <c r="C6" s="10" t="n">
        <v>46391</v>
      </c>
      <c r="D6" s="9" t="s">
        <v>28</v>
      </c>
    </row>
    <row r="7" customFormat="false" ht="15" hidden="false" customHeight="false" outlineLevel="0" collapsed="false">
      <c r="A7" s="6" t="s">
        <v>29</v>
      </c>
      <c r="C7" s="8" t="n">
        <v>8</v>
      </c>
      <c r="D7" s="9" t="s">
        <v>30</v>
      </c>
    </row>
    <row r="9" customFormat="false" ht="15" hidden="false" customHeight="false" outlineLevel="0" collapsed="false">
      <c r="A9" s="6" t="s">
        <v>31</v>
      </c>
      <c r="C9" s="11" t="n">
        <v>0.958333333333333</v>
      </c>
      <c r="D9" s="9" t="s">
        <v>32</v>
      </c>
    </row>
    <row r="10" customFormat="false" ht="15" hidden="false" customHeight="false" outlineLevel="0" collapsed="false">
      <c r="A10" s="6" t="s">
        <v>33</v>
      </c>
      <c r="C10" s="11" t="n">
        <v>0.25</v>
      </c>
      <c r="D10" s="9" t="s">
        <v>34</v>
      </c>
    </row>
    <row r="12" customFormat="false" ht="15" hidden="false" customHeight="false" outlineLevel="0" collapsed="false">
      <c r="A12" s="12" t="s">
        <v>35</v>
      </c>
    </row>
    <row r="13" customFormat="false" ht="15" hidden="false" customHeight="false" outlineLevel="0" collapsed="false">
      <c r="B13" s="13" t="s">
        <v>36</v>
      </c>
      <c r="D13" s="9" t="s">
        <v>37</v>
      </c>
    </row>
    <row r="14" customFormat="false" ht="15" hidden="false" customHeight="false" outlineLevel="0" collapsed="false">
      <c r="B14" s="13" t="s">
        <v>38</v>
      </c>
    </row>
    <row r="15" customFormat="false" ht="15" hidden="false" customHeight="false" outlineLevel="0" collapsed="false">
      <c r="B15" s="13" t="s">
        <v>39</v>
      </c>
    </row>
    <row r="16" customFormat="false" ht="15" hidden="false" customHeight="false" outlineLevel="0" collapsed="false">
      <c r="B16" s="13" t="s">
        <v>40</v>
      </c>
    </row>
    <row r="17" customFormat="false" ht="15" hidden="false" customHeight="false" outlineLevel="0" collapsed="false">
      <c r="B17" s="13" t="s">
        <v>41</v>
      </c>
    </row>
  </sheetData>
  <dataValidations count="2">
    <dataValidation allowBlank="false" error="Bitte eine Zahl von 1 bis 56 eingeben." errorStyle="stop" errorTitle="Zykluslänge" operator="between" showDropDown="false" showErrorMessage="true" showInputMessage="false" sqref="C7" type="whole">
      <formula1>1</formula1>
      <formula2>56</formula2>
    </dataValidation>
    <dataValidation allowBlank="false" error="Monat 1 bis 12" errorStyle="stop" operator="between" showDropDown="false" showErrorMessage="true" showInputMessage="false" sqref="C5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4" min="3" style="0" width="9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3"/>
  </cols>
  <sheetData>
    <row r="1" customFormat="false" ht="17.35" hidden="false" customHeight="false" outlineLevel="0" collapsed="false">
      <c r="A1" s="7" t="s">
        <v>42</v>
      </c>
    </row>
    <row r="2" customFormat="false" ht="15" hidden="false" customHeight="false" outlineLevel="0" collapsed="false">
      <c r="A2" s="9" t="s">
        <v>43</v>
      </c>
    </row>
    <row r="4" customFormat="false" ht="30" hidden="false" customHeight="true" outlineLevel="0" collapsed="false">
      <c r="A4" s="14" t="s">
        <v>44</v>
      </c>
      <c r="B4" s="14" t="s">
        <v>45</v>
      </c>
      <c r="C4" s="14" t="s">
        <v>46</v>
      </c>
      <c r="D4" s="14" t="s">
        <v>47</v>
      </c>
      <c r="E4" s="14" t="s">
        <v>48</v>
      </c>
      <c r="F4" s="14" t="s">
        <v>49</v>
      </c>
      <c r="G4" s="14" t="s">
        <v>50</v>
      </c>
    </row>
    <row r="5" customFormat="false" ht="15" hidden="false" customHeight="false" outlineLevel="0" collapsed="false">
      <c r="A5" s="15" t="s">
        <v>51</v>
      </c>
      <c r="B5" s="16" t="s">
        <v>52</v>
      </c>
      <c r="C5" s="11" t="n">
        <v>0.25</v>
      </c>
      <c r="D5" s="11" t="n">
        <v>0.583333333333333</v>
      </c>
      <c r="E5" s="15" t="n">
        <v>0</v>
      </c>
      <c r="F5" s="17" t="n">
        <f aca="false">IF(OR(C5="",D5=""),0,MOD(D5-C5,1)*24-N(E5)/60)</f>
        <v>8</v>
      </c>
      <c r="G5" s="17" t="n">
        <f aca="false">IF(OR(C5="",D5=""),0,24*(MAX(0,MIN((D5+IF(D5&lt;=C5,1,0)),Einstellungen!$C$10)-MAX(C5,0))+MAX(0,MIN((D5+IF(D5&lt;=C5,1,0)),1+Einstellungen!$C$10)-MAX(C5,Einstellungen!$C$9))))</f>
        <v>0</v>
      </c>
    </row>
    <row r="6" customFormat="false" ht="15" hidden="false" customHeight="false" outlineLevel="0" collapsed="false">
      <c r="A6" s="15" t="s">
        <v>53</v>
      </c>
      <c r="B6" s="16" t="s">
        <v>54</v>
      </c>
      <c r="C6" s="11" t="n">
        <v>0.583333333333333</v>
      </c>
      <c r="D6" s="11" t="n">
        <v>0.916666666666667</v>
      </c>
      <c r="E6" s="15" t="n">
        <v>0</v>
      </c>
      <c r="F6" s="17" t="n">
        <f aca="false">IF(OR(C6="",D6=""),0,MOD(D6-C6,1)*24-N(E6)/60)</f>
        <v>8</v>
      </c>
      <c r="G6" s="17" t="n">
        <f aca="false">IF(OR(C6="",D6=""),0,24*(MAX(0,MIN((D6+IF(D6&lt;=C6,1,0)),Einstellungen!$C$10)-MAX(C6,0))+MAX(0,MIN((D6+IF(D6&lt;=C6,1,0)),1+Einstellungen!$C$10)-MAX(C6,Einstellungen!$C$9))))</f>
        <v>0</v>
      </c>
    </row>
    <row r="7" customFormat="false" ht="15" hidden="false" customHeight="false" outlineLevel="0" collapsed="false">
      <c r="A7" s="15" t="s">
        <v>55</v>
      </c>
      <c r="B7" s="16" t="s">
        <v>56</v>
      </c>
      <c r="C7" s="11" t="n">
        <v>0.916666666666667</v>
      </c>
      <c r="D7" s="11" t="n">
        <v>0.25</v>
      </c>
      <c r="E7" s="15" t="n">
        <v>0</v>
      </c>
      <c r="F7" s="17" t="n">
        <f aca="false">IF(OR(C7="",D7=""),0,MOD(D7-C7,1)*24-N(E7)/60)</f>
        <v>8</v>
      </c>
      <c r="G7" s="17" t="n">
        <f aca="false">IF(OR(C7="",D7=""),0,24*(MAX(0,MIN((D7+IF(D7&lt;=C7,1,0)),Einstellungen!$C$10)-MAX(C7,0))+MAX(0,MIN((D7+IF(D7&lt;=C7,1,0)),1+Einstellungen!$C$10)-MAX(C7,Einstellungen!$C$9))))</f>
        <v>7</v>
      </c>
    </row>
    <row r="8" customFormat="false" ht="15" hidden="false" customHeight="false" outlineLevel="0" collapsed="false">
      <c r="A8" s="15" t="s">
        <v>57</v>
      </c>
      <c r="B8" s="16" t="s">
        <v>58</v>
      </c>
      <c r="C8" s="11" t="n">
        <v>0.25</v>
      </c>
      <c r="D8" s="11" t="n">
        <v>0.75</v>
      </c>
      <c r="E8" s="15" t="n">
        <v>0</v>
      </c>
      <c r="F8" s="17" t="n">
        <f aca="false">IF(OR(C8="",D8=""),0,MOD(D8-C8,1)*24-N(E8)/60)</f>
        <v>12</v>
      </c>
      <c r="G8" s="17" t="n">
        <f aca="false">IF(OR(C8="",D8=""),0,24*(MAX(0,MIN((D8+IF(D8&lt;=C8,1,0)),Einstellungen!$C$10)-MAX(C8,0))+MAX(0,MIN((D8+IF(D8&lt;=C8,1,0)),1+Einstellungen!$C$10)-MAX(C8,Einstellungen!$C$9))))</f>
        <v>0</v>
      </c>
    </row>
    <row r="9" customFormat="false" ht="15" hidden="false" customHeight="false" outlineLevel="0" collapsed="false">
      <c r="A9" s="15" t="s">
        <v>59</v>
      </c>
      <c r="B9" s="16" t="s">
        <v>60</v>
      </c>
      <c r="C9" s="11" t="n">
        <v>0.75</v>
      </c>
      <c r="D9" s="11" t="n">
        <v>0.25</v>
      </c>
      <c r="E9" s="15" t="n">
        <v>0</v>
      </c>
      <c r="F9" s="17" t="n">
        <f aca="false">IF(OR(C9="",D9=""),0,MOD(D9-C9,1)*24-N(E9)/60)</f>
        <v>12</v>
      </c>
      <c r="G9" s="17" t="n">
        <f aca="false">IF(OR(C9="",D9=""),0,24*(MAX(0,MIN((D9+IF(D9&lt;=C9,1,0)),Einstellungen!$C$10)-MAX(C9,0))+MAX(0,MIN((D9+IF(D9&lt;=C9,1,0)),1+Einstellungen!$C$10)-MAX(C9,Einstellungen!$C$9))))</f>
        <v>7</v>
      </c>
    </row>
    <row r="10" customFormat="false" ht="15" hidden="false" customHeight="false" outlineLevel="0" collapsed="false">
      <c r="A10" s="15" t="s">
        <v>61</v>
      </c>
      <c r="B10" s="16" t="s">
        <v>62</v>
      </c>
      <c r="C10" s="11"/>
      <c r="D10" s="11"/>
      <c r="E10" s="15"/>
      <c r="F10" s="17" t="n">
        <f aca="false">IF(OR(C10="",D10=""),0,MOD(D10-C10,1)*24-N(E10)/60)</f>
        <v>0</v>
      </c>
      <c r="G10" s="17" t="n">
        <f aca="false">IF(OR(C10="",D10=""),0,24*(MAX(0,MIN((D10+IF(D10&lt;=C10,1,0)),Einstellungen!$C$10)-MAX(C10,0))+MAX(0,MIN((D10+IF(D10&lt;=C10,1,0)),1+Einstellungen!$C$10)-MAX(C10,Einstellungen!$C$9))))</f>
        <v>0</v>
      </c>
    </row>
    <row r="11" customFormat="false" ht="15" hidden="false" customHeight="false" outlineLevel="0" collapsed="false">
      <c r="A11" s="15" t="s">
        <v>63</v>
      </c>
      <c r="B11" s="16" t="s">
        <v>64</v>
      </c>
      <c r="C11" s="11"/>
      <c r="D11" s="11"/>
      <c r="E11" s="15"/>
      <c r="F11" s="17" t="n">
        <f aca="false">IF(OR(C11="",D11=""),0,MOD(D11-C11,1)*24-N(E11)/60)</f>
        <v>0</v>
      </c>
      <c r="G11" s="17" t="n">
        <f aca="false">IF(OR(C11="",D11=""),0,24*(MAX(0,MIN((D11+IF(D11&lt;=C11,1,0)),Einstellungen!$C$10)-MAX(C11,0))+MAX(0,MIN((D11+IF(D11&lt;=C11,1,0)),1+Einstellungen!$C$10)-MAX(C11,Einstellungen!$C$9))))</f>
        <v>0</v>
      </c>
    </row>
    <row r="12" customFormat="false" ht="15" hidden="false" customHeight="false" outlineLevel="0" collapsed="false">
      <c r="A12" s="15"/>
      <c r="B12" s="16"/>
      <c r="C12" s="11"/>
      <c r="D12" s="11"/>
      <c r="E12" s="15"/>
      <c r="F12" s="17" t="n">
        <f aca="false">IF(OR(C12="",D12=""),0,MOD(D12-C12,1)*24-N(E12)/60)</f>
        <v>0</v>
      </c>
      <c r="G12" s="17" t="n">
        <f aca="false">IF(OR(C12="",D12=""),0,24*(MAX(0,MIN((D12+IF(D12&lt;=C12,1,0)),Einstellungen!$C$10)-MAX(C12,0))+MAX(0,MIN((D12+IF(D12&lt;=C12,1,0)),1+Einstellungen!$C$10)-MAX(C12,Einstellungen!$C$9))))</f>
        <v>0</v>
      </c>
    </row>
    <row r="13" customFormat="false" ht="15" hidden="false" customHeight="false" outlineLevel="0" collapsed="false">
      <c r="A13" s="15"/>
      <c r="B13" s="16"/>
      <c r="C13" s="11"/>
      <c r="D13" s="11"/>
      <c r="E13" s="15"/>
      <c r="F13" s="17" t="n">
        <f aca="false">IF(OR(C13="",D13=""),0,MOD(D13-C13,1)*24-N(E13)/60)</f>
        <v>0</v>
      </c>
      <c r="G13" s="17" t="n">
        <f aca="false">IF(OR(C13="",D13=""),0,24*(MAX(0,MIN((D13+IF(D13&lt;=C13,1,0)),Einstellungen!$C$10)-MAX(C13,0))+MAX(0,MIN((D13+IF(D13&lt;=C13,1,0)),1+Einstellungen!$C$10)-MAX(C13,Einstellungen!$C$9))))</f>
        <v>0</v>
      </c>
    </row>
    <row r="14" customFormat="false" ht="15" hidden="false" customHeight="false" outlineLevel="0" collapsed="false">
      <c r="A14" s="15"/>
      <c r="B14" s="16"/>
      <c r="C14" s="11"/>
      <c r="D14" s="11"/>
      <c r="E14" s="15"/>
      <c r="F14" s="17" t="n">
        <f aca="false">IF(OR(C14="",D14=""),0,MOD(D14-C14,1)*24-N(E14)/60)</f>
        <v>0</v>
      </c>
      <c r="G14" s="17" t="n">
        <f aca="false">IF(OR(C14="",D14=""),0,24*(MAX(0,MIN((D14+IF(D14&lt;=C14,1,0)),Einstellungen!$C$10)-MAX(C14,0))+MAX(0,MIN((D14+IF(D14&lt;=C14,1,0)),1+Einstellungen!$C$10)-MAX(C14,Einstellungen!$C$9))))</f>
        <v>0</v>
      </c>
    </row>
    <row r="15" customFormat="false" ht="15" hidden="false" customHeight="false" outlineLevel="0" collapsed="false">
      <c r="A15" s="15"/>
      <c r="B15" s="16"/>
      <c r="C15" s="11"/>
      <c r="D15" s="11"/>
      <c r="E15" s="15"/>
      <c r="F15" s="17" t="n">
        <f aca="false">IF(OR(C15="",D15=""),0,MOD(D15-C15,1)*24-N(E15)/60)</f>
        <v>0</v>
      </c>
      <c r="G15" s="17" t="n">
        <f aca="false">IF(OR(C15="",D15=""),0,24*(MAX(0,MIN((D15+IF(D15&lt;=C15,1,0)),Einstellungen!$C$10)-MAX(C15,0))+MAX(0,MIN((D15+IF(D15&lt;=C15,1,0)),1+Einstellungen!$C$10)-MAX(C15,Einstellungen!$C$9))))</f>
        <v>0</v>
      </c>
    </row>
    <row r="16" customFormat="false" ht="15" hidden="false" customHeight="false" outlineLevel="0" collapsed="false">
      <c r="A16" s="15"/>
      <c r="B16" s="16"/>
      <c r="C16" s="11"/>
      <c r="D16" s="11"/>
      <c r="E16" s="15"/>
      <c r="F16" s="17" t="n">
        <f aca="false">IF(OR(C16="",D16=""),0,MOD(D16-C16,1)*24-N(E16)/60)</f>
        <v>0</v>
      </c>
      <c r="G16" s="17" t="n">
        <f aca="false">IF(OR(C16="",D16=""),0,24*(MAX(0,MIN((D16+IF(D16&lt;=C16,1,0)),Einstellungen!$C$10)-MAX(C16,0))+MAX(0,MIN((D16+IF(D16&lt;=C16,1,0)),1+Einstellungen!$C$10)-MAX(C16,Einstellungen!$C$9))))</f>
        <v>0</v>
      </c>
    </row>
    <row r="17" customFormat="false" ht="15" hidden="false" customHeight="false" outlineLevel="0" collapsed="false">
      <c r="A17" s="15"/>
      <c r="B17" s="16"/>
      <c r="C17" s="11"/>
      <c r="D17" s="11"/>
      <c r="E17" s="15"/>
      <c r="F17" s="17" t="n">
        <f aca="false">IF(OR(C17="",D17=""),0,MOD(D17-C17,1)*24-N(E17)/60)</f>
        <v>0</v>
      </c>
      <c r="G17" s="17" t="n">
        <f aca="false">IF(OR(C17="",D17=""),0,24*(MAX(0,MIN((D17+IF(D17&lt;=C17,1,0)),Einstellungen!$C$10)-MAX(C17,0))+MAX(0,MIN((D17+IF(D17&lt;=C17,1,0)),1+Einstellungen!$C$10)-MAX(C17,Einstellungen!$C$9))))</f>
        <v>0</v>
      </c>
    </row>
    <row r="18" customFormat="false" ht="15" hidden="false" customHeight="false" outlineLevel="0" collapsed="false">
      <c r="A18" s="15"/>
      <c r="B18" s="16"/>
      <c r="C18" s="11"/>
      <c r="D18" s="11"/>
      <c r="E18" s="15"/>
      <c r="F18" s="17" t="n">
        <f aca="false">IF(OR(C18="",D18=""),0,MOD(D18-C18,1)*24-N(E18)/60)</f>
        <v>0</v>
      </c>
      <c r="G18" s="17" t="n">
        <f aca="false">IF(OR(C18="",D18=""),0,24*(MAX(0,MIN((D18+IF(D18&lt;=C18,1,0)),Einstellungen!$C$10)-MAX(C18,0))+MAX(0,MIN((D18+IF(D18&lt;=C18,1,0)),1+Einstellungen!$C$10)-MAX(C18,Einstellungen!$C$9))))</f>
        <v>0</v>
      </c>
    </row>
    <row r="19" customFormat="false" ht="15" hidden="false" customHeight="false" outlineLevel="0" collapsed="false">
      <c r="A19" s="15"/>
      <c r="B19" s="16"/>
      <c r="C19" s="11"/>
      <c r="D19" s="11"/>
      <c r="E19" s="15"/>
      <c r="F19" s="17" t="n">
        <f aca="false">IF(OR(C19="",D19=""),0,MOD(D19-C19,1)*24-N(E19)/60)</f>
        <v>0</v>
      </c>
      <c r="G19" s="17" t="n">
        <f aca="false">IF(OR(C19="",D19=""),0,24*(MAX(0,MIN((D19+IF(D19&lt;=C19,1,0)),Einstellungen!$C$10)-MAX(C19,0))+MAX(0,MIN((D19+IF(D19&lt;=C19,1,0)),1+Einstellungen!$C$10)-MAX(C19,Einstellungen!$C$9))))</f>
        <v>0</v>
      </c>
    </row>
    <row r="20" customFormat="false" ht="15" hidden="false" customHeight="false" outlineLevel="0" collapsed="false">
      <c r="A20" s="15"/>
      <c r="B20" s="16"/>
      <c r="C20" s="11"/>
      <c r="D20" s="11"/>
      <c r="E20" s="15"/>
      <c r="F20" s="17" t="n">
        <f aca="false">IF(OR(C20="",D20=""),0,MOD(D20-C20,1)*24-N(E20)/60)</f>
        <v>0</v>
      </c>
      <c r="G20" s="17" t="n">
        <f aca="false">IF(OR(C20="",D20=""),0,24*(MAX(0,MIN((D20+IF(D20&lt;=C20,1,0)),Einstellungen!$C$10)-MAX(C20,0))+MAX(0,MIN((D20+IF(D20&lt;=C20,1,0)),1+Einstellungen!$C$10)-MAX(C20,Einstellungen!$C$9))))</f>
        <v>0</v>
      </c>
    </row>
    <row r="21" customFormat="false" ht="15" hidden="false" customHeight="false" outlineLevel="0" collapsed="false">
      <c r="A21" s="15"/>
      <c r="B21" s="16"/>
      <c r="C21" s="11"/>
      <c r="D21" s="11"/>
      <c r="E21" s="15"/>
      <c r="F21" s="17" t="n">
        <f aca="false">IF(OR(C21="",D21=""),0,MOD(D21-C21,1)*24-N(E21)/60)</f>
        <v>0</v>
      </c>
      <c r="G21" s="17" t="n">
        <f aca="false">IF(OR(C21="",D21=""),0,24*(MAX(0,MIN((D21+IF(D21&lt;=C21,1,0)),Einstellungen!$C$10)-MAX(C21,0))+MAX(0,MIN((D21+IF(D21&lt;=C21,1,0)),1+Einstellungen!$C$10)-MAX(C21,Einstellungen!$C$9))))</f>
        <v>0</v>
      </c>
    </row>
    <row r="22" customFormat="false" ht="15" hidden="false" customHeight="false" outlineLevel="0" collapsed="false">
      <c r="A22" s="15"/>
      <c r="B22" s="16"/>
      <c r="C22" s="11"/>
      <c r="D22" s="11"/>
      <c r="E22" s="15"/>
      <c r="F22" s="17" t="n">
        <f aca="false">IF(OR(C22="",D22=""),0,MOD(D22-C22,1)*24-N(E22)/60)</f>
        <v>0</v>
      </c>
      <c r="G22" s="17" t="n">
        <f aca="false">IF(OR(C22="",D22=""),0,24*(MAX(0,MIN((D22+IF(D22&lt;=C22,1,0)),Einstellungen!$C$10)-MAX(C22,0))+MAX(0,MIN((D22+IF(D22&lt;=C22,1,0)),1+Einstellungen!$C$10)-MAX(C22,Einstellungen!$C$9))))</f>
        <v>0</v>
      </c>
    </row>
    <row r="23" customFormat="false" ht="15" hidden="false" customHeight="false" outlineLevel="0" collapsed="false">
      <c r="A23" s="15"/>
      <c r="B23" s="16"/>
      <c r="C23" s="11"/>
      <c r="D23" s="11"/>
      <c r="E23" s="15"/>
      <c r="F23" s="17" t="n">
        <f aca="false">IF(OR(C23="",D23=""),0,MOD(D23-C23,1)*24-N(E23)/60)</f>
        <v>0</v>
      </c>
      <c r="G23" s="17" t="n">
        <f aca="false">IF(OR(C23="",D23=""),0,24*(MAX(0,MIN((D23+IF(D23&lt;=C23,1,0)),Einstellungen!$C$10)-MAX(C23,0))+MAX(0,MIN((D23+IF(D23&lt;=C23,1,0)),1+Einstellungen!$C$10)-MAX(C23,Einstellungen!$C$9))))</f>
        <v>0</v>
      </c>
    </row>
    <row r="24" customFormat="false" ht="15" hidden="false" customHeight="false" outlineLevel="0" collapsed="false">
      <c r="A24" s="15"/>
      <c r="B24" s="16"/>
      <c r="C24" s="11"/>
      <c r="D24" s="11"/>
      <c r="E24" s="15"/>
      <c r="F24" s="17" t="n">
        <f aca="false">IF(OR(C24="",D24=""),0,MOD(D24-C24,1)*24-N(E24)/60)</f>
        <v>0</v>
      </c>
      <c r="G24" s="17" t="n">
        <f aca="false">IF(OR(C24="",D24=""),0,24*(MAX(0,MIN((D24+IF(D24&lt;=C24,1,0)),Einstellungen!$C$10)-MAX(C24,0))+MAX(0,MIN((D24+IF(D24&lt;=C24,1,0)),1+Einstellungen!$C$10)-MAX(C24,Einstellungen!$C$9))))</f>
        <v>0</v>
      </c>
    </row>
    <row r="26" customFormat="false" ht="15" hidden="false" customHeight="true" outlineLevel="0" collapsed="false">
      <c r="A26" s="18" t="s">
        <v>65</v>
      </c>
      <c r="B26" s="18"/>
      <c r="C26" s="18"/>
      <c r="D26" s="18"/>
      <c r="E26" s="18"/>
      <c r="F26" s="18"/>
      <c r="G26" s="18"/>
    </row>
    <row r="27" customFormat="false" ht="15" hidden="false" customHeight="false" outlineLevel="0" collapsed="false">
      <c r="A27" s="18"/>
      <c r="B27" s="18"/>
      <c r="C27" s="18"/>
      <c r="D27" s="18"/>
      <c r="E27" s="18"/>
      <c r="F27" s="18"/>
      <c r="G27" s="18"/>
    </row>
    <row r="28" customFormat="false" ht="15" hidden="false" customHeight="false" outlineLevel="0" collapsed="false">
      <c r="A28" s="18"/>
      <c r="B28" s="18"/>
      <c r="C28" s="18"/>
      <c r="D28" s="18"/>
      <c r="E28" s="18"/>
      <c r="F28" s="18"/>
      <c r="G28" s="18"/>
    </row>
  </sheetData>
  <mergeCells count="1">
    <mergeCell ref="A26:G28"/>
  </mergeCells>
  <conditionalFormatting sqref="A5:A24">
    <cfRule type="cellIs" priority="2" operator="equal" aboveAverage="0" equalAverage="0" bottom="0" percent="0" rank="0" text="" dxfId="0">
      <formula>"F"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"N"</formula>
    </cfRule>
    <cfRule type="cellIs" priority="5" operator="equal" aboveAverage="0" equalAverage="0" bottom="0" percent="0" rank="0" text="" dxfId="3">
      <formula>"T12"</formula>
    </cfRule>
    <cfRule type="cellIs" priority="6" operator="equal" aboveAverage="0" equalAverage="0" bottom="0" percent="0" rank="0" text="" dxfId="4">
      <formula>"N12"</formula>
    </cfRule>
    <cfRule type="cellIs" priority="7" operator="equal" aboveAverage="0" equalAverage="0" bottom="0" percent="0" rank="0" text="" dxfId="5">
      <formula>"-"</formula>
    </cfRule>
    <cfRule type="cellIs" priority="8" operator="equal" aboveAverage="0" equalAverage="0" bottom="0" percent="0" rank="0" text="" dxfId="6">
      <formula>"U"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8"/>
    <col collapsed="false" customWidth="true" hidden="false" outlineLevel="0" max="58" min="3" style="0" width="5"/>
  </cols>
  <sheetData>
    <row r="1" customFormat="false" ht="17.35" hidden="false" customHeight="false" outlineLevel="0" collapsed="false">
      <c r="A1" s="7" t="s">
        <v>66</v>
      </c>
    </row>
    <row r="2" customFormat="false" ht="15" hidden="false" customHeight="false" outlineLevel="0" collapsed="false">
      <c r="A2" s="9" t="s">
        <v>67</v>
      </c>
    </row>
    <row r="4" customFormat="false" ht="15" hidden="false" customHeight="false" outlineLevel="0" collapsed="false">
      <c r="A4" s="12" t="s">
        <v>68</v>
      </c>
      <c r="C4" s="19" t="n">
        <v>1</v>
      </c>
      <c r="D4" s="19" t="n">
        <v>2</v>
      </c>
      <c r="E4" s="19" t="n">
        <v>3</v>
      </c>
      <c r="F4" s="19" t="n">
        <v>4</v>
      </c>
      <c r="G4" s="19" t="n">
        <v>5</v>
      </c>
      <c r="H4" s="19" t="n">
        <v>6</v>
      </c>
      <c r="I4" s="19" t="n">
        <v>7</v>
      </c>
      <c r="J4" s="19" t="n">
        <v>8</v>
      </c>
      <c r="K4" s="19" t="n">
        <v>9</v>
      </c>
      <c r="L4" s="19" t="n">
        <v>10</v>
      </c>
      <c r="M4" s="19" t="n">
        <v>11</v>
      </c>
      <c r="N4" s="19" t="n">
        <v>12</v>
      </c>
      <c r="O4" s="19" t="n">
        <v>13</v>
      </c>
      <c r="P4" s="19" t="n">
        <v>14</v>
      </c>
      <c r="Q4" s="19" t="n">
        <v>15</v>
      </c>
      <c r="R4" s="19" t="n">
        <v>16</v>
      </c>
      <c r="S4" s="19" t="n">
        <v>17</v>
      </c>
      <c r="T4" s="19" t="n">
        <v>18</v>
      </c>
      <c r="U4" s="19" t="n">
        <v>19</v>
      </c>
      <c r="V4" s="19" t="n">
        <v>20</v>
      </c>
      <c r="W4" s="19" t="n">
        <v>21</v>
      </c>
      <c r="X4" s="19" t="n">
        <v>22</v>
      </c>
      <c r="Y4" s="19" t="n">
        <v>23</v>
      </c>
      <c r="Z4" s="19" t="n">
        <v>24</v>
      </c>
      <c r="AA4" s="19" t="n">
        <v>25</v>
      </c>
      <c r="AB4" s="19" t="n">
        <v>26</v>
      </c>
      <c r="AC4" s="19" t="n">
        <v>27</v>
      </c>
      <c r="AD4" s="19" t="n">
        <v>28</v>
      </c>
      <c r="AE4" s="19" t="n">
        <v>29</v>
      </c>
      <c r="AF4" s="19" t="n">
        <v>30</v>
      </c>
      <c r="AG4" s="19" t="n">
        <v>31</v>
      </c>
      <c r="AH4" s="19" t="n">
        <v>32</v>
      </c>
      <c r="AI4" s="19" t="n">
        <v>33</v>
      </c>
      <c r="AJ4" s="19" t="n">
        <v>34</v>
      </c>
      <c r="AK4" s="19" t="n">
        <v>35</v>
      </c>
      <c r="AL4" s="19" t="n">
        <v>36</v>
      </c>
      <c r="AM4" s="19" t="n">
        <v>37</v>
      </c>
      <c r="AN4" s="19" t="n">
        <v>38</v>
      </c>
      <c r="AO4" s="19" t="n">
        <v>39</v>
      </c>
      <c r="AP4" s="19" t="n">
        <v>40</v>
      </c>
      <c r="AQ4" s="19" t="n">
        <v>41</v>
      </c>
      <c r="AR4" s="19" t="n">
        <v>42</v>
      </c>
      <c r="AS4" s="19" t="n">
        <v>43</v>
      </c>
      <c r="AT4" s="19" t="n">
        <v>44</v>
      </c>
      <c r="AU4" s="19" t="n">
        <v>45</v>
      </c>
      <c r="AV4" s="19" t="n">
        <v>46</v>
      </c>
      <c r="AW4" s="19" t="n">
        <v>47</v>
      </c>
      <c r="AX4" s="19" t="n">
        <v>48</v>
      </c>
      <c r="AY4" s="19" t="n">
        <v>49</v>
      </c>
      <c r="AZ4" s="19" t="n">
        <v>50</v>
      </c>
      <c r="BA4" s="19" t="n">
        <v>51</v>
      </c>
      <c r="BB4" s="19" t="n">
        <v>52</v>
      </c>
      <c r="BC4" s="19" t="n">
        <v>53</v>
      </c>
      <c r="BD4" s="19" t="n">
        <v>54</v>
      </c>
      <c r="BE4" s="19" t="n">
        <v>55</v>
      </c>
      <c r="BF4" s="19" t="n">
        <v>56</v>
      </c>
    </row>
    <row r="5" customFormat="false" ht="15" hidden="false" customHeight="false" outlineLevel="0" collapsed="false">
      <c r="A5" s="12" t="s">
        <v>69</v>
      </c>
      <c r="C5" s="20" t="str">
        <f aca="false">CHOOSE(WEEKDAY((Einstellungen!$C$6+0),2),"Mo","Di","Mi","Do","Fr","Sa","So")</f>
        <v>Mo</v>
      </c>
      <c r="D5" s="20" t="str">
        <f aca="false">CHOOSE(WEEKDAY((Einstellungen!$C$6+1),2),"Mo","Di","Mi","Do","Fr","Sa","So")</f>
        <v>Di</v>
      </c>
      <c r="E5" s="20" t="str">
        <f aca="false">CHOOSE(WEEKDAY((Einstellungen!$C$6+2),2),"Mo","Di","Mi","Do","Fr","Sa","So")</f>
        <v>Mi</v>
      </c>
      <c r="F5" s="20" t="str">
        <f aca="false">CHOOSE(WEEKDAY((Einstellungen!$C$6+3),2),"Mo","Di","Mi","Do","Fr","Sa","So")</f>
        <v>Do</v>
      </c>
      <c r="G5" s="20" t="str">
        <f aca="false">CHOOSE(WEEKDAY((Einstellungen!$C$6+4),2),"Mo","Di","Mi","Do","Fr","Sa","So")</f>
        <v>Fr</v>
      </c>
      <c r="H5" s="20" t="str">
        <f aca="false">CHOOSE(WEEKDAY((Einstellungen!$C$6+5),2),"Mo","Di","Mi","Do","Fr","Sa","So")</f>
        <v>Sa</v>
      </c>
      <c r="I5" s="20" t="str">
        <f aca="false">CHOOSE(WEEKDAY((Einstellungen!$C$6+6),2),"Mo","Di","Mi","Do","Fr","Sa","So")</f>
        <v>So</v>
      </c>
      <c r="J5" s="20" t="str">
        <f aca="false">CHOOSE(WEEKDAY((Einstellungen!$C$6+7),2),"Mo","Di","Mi","Do","Fr","Sa","So")</f>
        <v>Mo</v>
      </c>
      <c r="K5" s="20" t="str">
        <f aca="false">CHOOSE(WEEKDAY((Einstellungen!$C$6+8),2),"Mo","Di","Mi","Do","Fr","Sa","So")</f>
        <v>Di</v>
      </c>
      <c r="L5" s="20" t="str">
        <f aca="false">CHOOSE(WEEKDAY((Einstellungen!$C$6+9),2),"Mo","Di","Mi","Do","Fr","Sa","So")</f>
        <v>Mi</v>
      </c>
      <c r="M5" s="20" t="str">
        <f aca="false">CHOOSE(WEEKDAY((Einstellungen!$C$6+10),2),"Mo","Di","Mi","Do","Fr","Sa","So")</f>
        <v>Do</v>
      </c>
      <c r="N5" s="20" t="str">
        <f aca="false">CHOOSE(WEEKDAY((Einstellungen!$C$6+11),2),"Mo","Di","Mi","Do","Fr","Sa","So")</f>
        <v>Fr</v>
      </c>
      <c r="O5" s="20" t="str">
        <f aca="false">CHOOSE(WEEKDAY((Einstellungen!$C$6+12),2),"Mo","Di","Mi","Do","Fr","Sa","So")</f>
        <v>Sa</v>
      </c>
      <c r="P5" s="20" t="str">
        <f aca="false">CHOOSE(WEEKDAY((Einstellungen!$C$6+13),2),"Mo","Di","Mi","Do","Fr","Sa","So")</f>
        <v>So</v>
      </c>
      <c r="Q5" s="20" t="str">
        <f aca="false">CHOOSE(WEEKDAY((Einstellungen!$C$6+14),2),"Mo","Di","Mi","Do","Fr","Sa","So")</f>
        <v>Mo</v>
      </c>
      <c r="R5" s="20" t="str">
        <f aca="false">CHOOSE(WEEKDAY((Einstellungen!$C$6+15),2),"Mo","Di","Mi","Do","Fr","Sa","So")</f>
        <v>Di</v>
      </c>
      <c r="S5" s="20" t="str">
        <f aca="false">CHOOSE(WEEKDAY((Einstellungen!$C$6+16),2),"Mo","Di","Mi","Do","Fr","Sa","So")</f>
        <v>Mi</v>
      </c>
      <c r="T5" s="20" t="str">
        <f aca="false">CHOOSE(WEEKDAY((Einstellungen!$C$6+17),2),"Mo","Di","Mi","Do","Fr","Sa","So")</f>
        <v>Do</v>
      </c>
      <c r="U5" s="20" t="str">
        <f aca="false">CHOOSE(WEEKDAY((Einstellungen!$C$6+18),2),"Mo","Di","Mi","Do","Fr","Sa","So")</f>
        <v>Fr</v>
      </c>
      <c r="V5" s="20" t="str">
        <f aca="false">CHOOSE(WEEKDAY((Einstellungen!$C$6+19),2),"Mo","Di","Mi","Do","Fr","Sa","So")</f>
        <v>Sa</v>
      </c>
      <c r="W5" s="20" t="str">
        <f aca="false">CHOOSE(WEEKDAY((Einstellungen!$C$6+20),2),"Mo","Di","Mi","Do","Fr","Sa","So")</f>
        <v>So</v>
      </c>
      <c r="X5" s="20" t="str">
        <f aca="false">CHOOSE(WEEKDAY((Einstellungen!$C$6+21),2),"Mo","Di","Mi","Do","Fr","Sa","So")</f>
        <v>Mo</v>
      </c>
      <c r="Y5" s="20" t="str">
        <f aca="false">CHOOSE(WEEKDAY((Einstellungen!$C$6+22),2),"Mo","Di","Mi","Do","Fr","Sa","So")</f>
        <v>Di</v>
      </c>
      <c r="Z5" s="20" t="str">
        <f aca="false">CHOOSE(WEEKDAY((Einstellungen!$C$6+23),2),"Mo","Di","Mi","Do","Fr","Sa","So")</f>
        <v>Mi</v>
      </c>
      <c r="AA5" s="20" t="str">
        <f aca="false">CHOOSE(WEEKDAY((Einstellungen!$C$6+24),2),"Mo","Di","Mi","Do","Fr","Sa","So")</f>
        <v>Do</v>
      </c>
      <c r="AB5" s="20" t="str">
        <f aca="false">CHOOSE(WEEKDAY((Einstellungen!$C$6+25),2),"Mo","Di","Mi","Do","Fr","Sa","So")</f>
        <v>Fr</v>
      </c>
      <c r="AC5" s="20" t="str">
        <f aca="false">CHOOSE(WEEKDAY((Einstellungen!$C$6+26),2),"Mo","Di","Mi","Do","Fr","Sa","So")</f>
        <v>Sa</v>
      </c>
      <c r="AD5" s="20" t="str">
        <f aca="false">CHOOSE(WEEKDAY((Einstellungen!$C$6+27),2),"Mo","Di","Mi","Do","Fr","Sa","So")</f>
        <v>So</v>
      </c>
      <c r="AE5" s="20" t="str">
        <f aca="false">CHOOSE(WEEKDAY((Einstellungen!$C$6+28),2),"Mo","Di","Mi","Do","Fr","Sa","So")</f>
        <v>Mo</v>
      </c>
      <c r="AF5" s="20" t="str">
        <f aca="false">CHOOSE(WEEKDAY((Einstellungen!$C$6+29),2),"Mo","Di","Mi","Do","Fr","Sa","So")</f>
        <v>Di</v>
      </c>
      <c r="AG5" s="20" t="str">
        <f aca="false">CHOOSE(WEEKDAY((Einstellungen!$C$6+30),2),"Mo","Di","Mi","Do","Fr","Sa","So")</f>
        <v>Mi</v>
      </c>
      <c r="AH5" s="20" t="str">
        <f aca="false">CHOOSE(WEEKDAY((Einstellungen!$C$6+31),2),"Mo","Di","Mi","Do","Fr","Sa","So")</f>
        <v>Do</v>
      </c>
      <c r="AI5" s="20" t="str">
        <f aca="false">CHOOSE(WEEKDAY((Einstellungen!$C$6+32),2),"Mo","Di","Mi","Do","Fr","Sa","So")</f>
        <v>Fr</v>
      </c>
      <c r="AJ5" s="20" t="str">
        <f aca="false">CHOOSE(WEEKDAY((Einstellungen!$C$6+33),2),"Mo","Di","Mi","Do","Fr","Sa","So")</f>
        <v>Sa</v>
      </c>
      <c r="AK5" s="20" t="str">
        <f aca="false">CHOOSE(WEEKDAY((Einstellungen!$C$6+34),2),"Mo","Di","Mi","Do","Fr","Sa","So")</f>
        <v>So</v>
      </c>
      <c r="AL5" s="20" t="str">
        <f aca="false">CHOOSE(WEEKDAY((Einstellungen!$C$6+35),2),"Mo","Di","Mi","Do","Fr","Sa","So")</f>
        <v>Mo</v>
      </c>
      <c r="AM5" s="20" t="str">
        <f aca="false">CHOOSE(WEEKDAY((Einstellungen!$C$6+36),2),"Mo","Di","Mi","Do","Fr","Sa","So")</f>
        <v>Di</v>
      </c>
      <c r="AN5" s="20" t="str">
        <f aca="false">CHOOSE(WEEKDAY((Einstellungen!$C$6+37),2),"Mo","Di","Mi","Do","Fr","Sa","So")</f>
        <v>Mi</v>
      </c>
      <c r="AO5" s="20" t="str">
        <f aca="false">CHOOSE(WEEKDAY((Einstellungen!$C$6+38),2),"Mo","Di","Mi","Do","Fr","Sa","So")</f>
        <v>Do</v>
      </c>
      <c r="AP5" s="20" t="str">
        <f aca="false">CHOOSE(WEEKDAY((Einstellungen!$C$6+39),2),"Mo","Di","Mi","Do","Fr","Sa","So")</f>
        <v>Fr</v>
      </c>
      <c r="AQ5" s="20" t="str">
        <f aca="false">CHOOSE(WEEKDAY((Einstellungen!$C$6+40),2),"Mo","Di","Mi","Do","Fr","Sa","So")</f>
        <v>Sa</v>
      </c>
      <c r="AR5" s="20" t="str">
        <f aca="false">CHOOSE(WEEKDAY((Einstellungen!$C$6+41),2),"Mo","Di","Mi","Do","Fr","Sa","So")</f>
        <v>So</v>
      </c>
      <c r="AS5" s="20" t="str">
        <f aca="false">CHOOSE(WEEKDAY((Einstellungen!$C$6+42),2),"Mo","Di","Mi","Do","Fr","Sa","So")</f>
        <v>Mo</v>
      </c>
      <c r="AT5" s="20" t="str">
        <f aca="false">CHOOSE(WEEKDAY((Einstellungen!$C$6+43),2),"Mo","Di","Mi","Do","Fr","Sa","So")</f>
        <v>Di</v>
      </c>
      <c r="AU5" s="20" t="str">
        <f aca="false">CHOOSE(WEEKDAY((Einstellungen!$C$6+44),2),"Mo","Di","Mi","Do","Fr","Sa","So")</f>
        <v>Mi</v>
      </c>
      <c r="AV5" s="20" t="str">
        <f aca="false">CHOOSE(WEEKDAY((Einstellungen!$C$6+45),2),"Mo","Di","Mi","Do","Fr","Sa","So")</f>
        <v>Do</v>
      </c>
      <c r="AW5" s="20" t="str">
        <f aca="false">CHOOSE(WEEKDAY((Einstellungen!$C$6+46),2),"Mo","Di","Mi","Do","Fr","Sa","So")</f>
        <v>Fr</v>
      </c>
      <c r="AX5" s="20" t="str">
        <f aca="false">CHOOSE(WEEKDAY((Einstellungen!$C$6+47),2),"Mo","Di","Mi","Do","Fr","Sa","So")</f>
        <v>Sa</v>
      </c>
      <c r="AY5" s="20" t="str">
        <f aca="false">CHOOSE(WEEKDAY((Einstellungen!$C$6+48),2),"Mo","Di","Mi","Do","Fr","Sa","So")</f>
        <v>So</v>
      </c>
      <c r="AZ5" s="20" t="str">
        <f aca="false">CHOOSE(WEEKDAY((Einstellungen!$C$6+49),2),"Mo","Di","Mi","Do","Fr","Sa","So")</f>
        <v>Mo</v>
      </c>
      <c r="BA5" s="20" t="str">
        <f aca="false">CHOOSE(WEEKDAY((Einstellungen!$C$6+50),2),"Mo","Di","Mi","Do","Fr","Sa","So")</f>
        <v>Di</v>
      </c>
      <c r="BB5" s="20" t="str">
        <f aca="false">CHOOSE(WEEKDAY((Einstellungen!$C$6+51),2),"Mo","Di","Mi","Do","Fr","Sa","So")</f>
        <v>Mi</v>
      </c>
      <c r="BC5" s="20" t="str">
        <f aca="false">CHOOSE(WEEKDAY((Einstellungen!$C$6+52),2),"Mo","Di","Mi","Do","Fr","Sa","So")</f>
        <v>Do</v>
      </c>
      <c r="BD5" s="20" t="str">
        <f aca="false">CHOOSE(WEEKDAY((Einstellungen!$C$6+53),2),"Mo","Di","Mi","Do","Fr","Sa","So")</f>
        <v>Fr</v>
      </c>
      <c r="BE5" s="20" t="str">
        <f aca="false">CHOOSE(WEEKDAY((Einstellungen!$C$6+54),2),"Mo","Di","Mi","Do","Fr","Sa","So")</f>
        <v>Sa</v>
      </c>
      <c r="BF5" s="20" t="str">
        <f aca="false">CHOOSE(WEEKDAY((Einstellungen!$C$6+55),2),"Mo","Di","Mi","Do","Fr","Sa","So")</f>
        <v>So</v>
      </c>
    </row>
    <row r="6" customFormat="false" ht="15" hidden="false" customHeight="false" outlineLevel="0" collapsed="false">
      <c r="A6" s="12" t="s">
        <v>70</v>
      </c>
      <c r="C6" s="15" t="s">
        <v>51</v>
      </c>
      <c r="D6" s="15" t="s">
        <v>51</v>
      </c>
      <c r="E6" s="15" t="s">
        <v>53</v>
      </c>
      <c r="F6" s="15" t="s">
        <v>53</v>
      </c>
      <c r="G6" s="15" t="s">
        <v>55</v>
      </c>
      <c r="H6" s="15" t="s">
        <v>55</v>
      </c>
      <c r="I6" s="15" t="s">
        <v>61</v>
      </c>
      <c r="J6" s="15" t="s">
        <v>61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</row>
    <row r="7" customFormat="false" ht="15" hidden="false" customHeight="false" outlineLevel="0" collapsed="false">
      <c r="A7" s="12" t="s">
        <v>71</v>
      </c>
      <c r="C7" s="15" t="s">
        <v>61</v>
      </c>
      <c r="D7" s="15" t="s">
        <v>61</v>
      </c>
      <c r="E7" s="15" t="s">
        <v>51</v>
      </c>
      <c r="F7" s="15" t="s">
        <v>51</v>
      </c>
      <c r="G7" s="15" t="s">
        <v>53</v>
      </c>
      <c r="H7" s="15" t="s">
        <v>53</v>
      </c>
      <c r="I7" s="15" t="s">
        <v>55</v>
      </c>
      <c r="J7" s="15" t="s">
        <v>55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customFormat="false" ht="15" hidden="false" customHeight="false" outlineLevel="0" collapsed="false">
      <c r="A8" s="12" t="s">
        <v>72</v>
      </c>
      <c r="C8" s="15" t="s">
        <v>55</v>
      </c>
      <c r="D8" s="15" t="s">
        <v>55</v>
      </c>
      <c r="E8" s="15" t="s">
        <v>61</v>
      </c>
      <c r="F8" s="15" t="s">
        <v>61</v>
      </c>
      <c r="G8" s="15" t="s">
        <v>51</v>
      </c>
      <c r="H8" s="15" t="s">
        <v>51</v>
      </c>
      <c r="I8" s="15" t="s">
        <v>53</v>
      </c>
      <c r="J8" s="15" t="s">
        <v>53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</row>
    <row r="9" customFormat="false" ht="15" hidden="false" customHeight="false" outlineLevel="0" collapsed="false">
      <c r="A9" s="12" t="s">
        <v>73</v>
      </c>
      <c r="C9" s="15" t="s">
        <v>53</v>
      </c>
      <c r="D9" s="15" t="s">
        <v>53</v>
      </c>
      <c r="E9" s="15" t="s">
        <v>55</v>
      </c>
      <c r="F9" s="15" t="s">
        <v>55</v>
      </c>
      <c r="G9" s="15" t="s">
        <v>61</v>
      </c>
      <c r="H9" s="15" t="s">
        <v>61</v>
      </c>
      <c r="I9" s="15" t="s">
        <v>51</v>
      </c>
      <c r="J9" s="15" t="s">
        <v>51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</row>
    <row r="10" customFormat="false" ht="15" hidden="false" customHeight="false" outlineLevel="0" collapsed="false">
      <c r="A10" s="12" t="s">
        <v>74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</row>
    <row r="12" customFormat="false" ht="15" hidden="false" customHeight="false" outlineLevel="0" collapsed="false">
      <c r="A12" s="12" t="s">
        <v>75</v>
      </c>
    </row>
    <row r="13" customFormat="false" ht="15" hidden="false" customHeight="false" outlineLevel="0" collapsed="false">
      <c r="A13" s="12" t="s">
        <v>51</v>
      </c>
      <c r="C13" s="21" t="n">
        <f aca="false">IF(1&gt;Einstellungen!$C$7,"",COUNTIF(C$6:C$10,$A13))</f>
        <v>1</v>
      </c>
      <c r="D13" s="21" t="n">
        <f aca="false">IF(2&gt;Einstellungen!$C$7,"",COUNTIF(D$6:D$10,$A13))</f>
        <v>1</v>
      </c>
      <c r="E13" s="21" t="n">
        <f aca="false">IF(3&gt;Einstellungen!$C$7,"",COUNTIF(E$6:E$10,$A13))</f>
        <v>1</v>
      </c>
      <c r="F13" s="21" t="n">
        <f aca="false">IF(4&gt;Einstellungen!$C$7,"",COUNTIF(F$6:F$10,$A13))</f>
        <v>1</v>
      </c>
      <c r="G13" s="21" t="n">
        <f aca="false">IF(5&gt;Einstellungen!$C$7,"",COUNTIF(G$6:G$10,$A13))</f>
        <v>1</v>
      </c>
      <c r="H13" s="21" t="n">
        <f aca="false">IF(6&gt;Einstellungen!$C$7,"",COUNTIF(H$6:H$10,$A13))</f>
        <v>1</v>
      </c>
      <c r="I13" s="21" t="n">
        <f aca="false">IF(7&gt;Einstellungen!$C$7,"",COUNTIF(I$6:I$10,$A13))</f>
        <v>1</v>
      </c>
      <c r="J13" s="21" t="n">
        <f aca="false">IF(8&gt;Einstellungen!$C$7,"",COUNTIF(J$6:J$10,$A13))</f>
        <v>1</v>
      </c>
      <c r="K13" s="21" t="str">
        <f aca="false">IF(9&gt;Einstellungen!$C$7,"",COUNTIF(K$6:K$10,$A13))</f>
        <v/>
      </c>
      <c r="L13" s="21" t="str">
        <f aca="false">IF(10&gt;Einstellungen!$C$7,"",COUNTIF(L$6:L$10,$A13))</f>
        <v/>
      </c>
      <c r="M13" s="21" t="str">
        <f aca="false">IF(11&gt;Einstellungen!$C$7,"",COUNTIF(M$6:M$10,$A13))</f>
        <v/>
      </c>
      <c r="N13" s="21" t="str">
        <f aca="false">IF(12&gt;Einstellungen!$C$7,"",COUNTIF(N$6:N$10,$A13))</f>
        <v/>
      </c>
      <c r="O13" s="21" t="str">
        <f aca="false">IF(13&gt;Einstellungen!$C$7,"",COUNTIF(O$6:O$10,$A13))</f>
        <v/>
      </c>
      <c r="P13" s="21" t="str">
        <f aca="false">IF(14&gt;Einstellungen!$C$7,"",COUNTIF(P$6:P$10,$A13))</f>
        <v/>
      </c>
      <c r="Q13" s="21" t="str">
        <f aca="false">IF(15&gt;Einstellungen!$C$7,"",COUNTIF(Q$6:Q$10,$A13))</f>
        <v/>
      </c>
      <c r="R13" s="21" t="str">
        <f aca="false">IF(16&gt;Einstellungen!$C$7,"",COUNTIF(R$6:R$10,$A13))</f>
        <v/>
      </c>
      <c r="S13" s="21" t="str">
        <f aca="false">IF(17&gt;Einstellungen!$C$7,"",COUNTIF(S$6:S$10,$A13))</f>
        <v/>
      </c>
      <c r="T13" s="21" t="str">
        <f aca="false">IF(18&gt;Einstellungen!$C$7,"",COUNTIF(T$6:T$10,$A13))</f>
        <v/>
      </c>
      <c r="U13" s="21" t="str">
        <f aca="false">IF(19&gt;Einstellungen!$C$7,"",COUNTIF(U$6:U$10,$A13))</f>
        <v/>
      </c>
      <c r="V13" s="21" t="str">
        <f aca="false">IF(20&gt;Einstellungen!$C$7,"",COUNTIF(V$6:V$10,$A13))</f>
        <v/>
      </c>
      <c r="W13" s="21" t="str">
        <f aca="false">IF(21&gt;Einstellungen!$C$7,"",COUNTIF(W$6:W$10,$A13))</f>
        <v/>
      </c>
      <c r="X13" s="21" t="str">
        <f aca="false">IF(22&gt;Einstellungen!$C$7,"",COUNTIF(X$6:X$10,$A13))</f>
        <v/>
      </c>
      <c r="Y13" s="21" t="str">
        <f aca="false">IF(23&gt;Einstellungen!$C$7,"",COUNTIF(Y$6:Y$10,$A13))</f>
        <v/>
      </c>
      <c r="Z13" s="21" t="str">
        <f aca="false">IF(24&gt;Einstellungen!$C$7,"",COUNTIF(Z$6:Z$10,$A13))</f>
        <v/>
      </c>
      <c r="AA13" s="21" t="str">
        <f aca="false">IF(25&gt;Einstellungen!$C$7,"",COUNTIF(AA$6:AA$10,$A13))</f>
        <v/>
      </c>
      <c r="AB13" s="21" t="str">
        <f aca="false">IF(26&gt;Einstellungen!$C$7,"",COUNTIF(AB$6:AB$10,$A13))</f>
        <v/>
      </c>
      <c r="AC13" s="21" t="str">
        <f aca="false">IF(27&gt;Einstellungen!$C$7,"",COUNTIF(AC$6:AC$10,$A13))</f>
        <v/>
      </c>
      <c r="AD13" s="21" t="str">
        <f aca="false">IF(28&gt;Einstellungen!$C$7,"",COUNTIF(AD$6:AD$10,$A13))</f>
        <v/>
      </c>
      <c r="AE13" s="21" t="str">
        <f aca="false">IF(29&gt;Einstellungen!$C$7,"",COUNTIF(AE$6:AE$10,$A13))</f>
        <v/>
      </c>
      <c r="AF13" s="21" t="str">
        <f aca="false">IF(30&gt;Einstellungen!$C$7,"",COUNTIF(AF$6:AF$10,$A13))</f>
        <v/>
      </c>
      <c r="AG13" s="21" t="str">
        <f aca="false">IF(31&gt;Einstellungen!$C$7,"",COUNTIF(AG$6:AG$10,$A13))</f>
        <v/>
      </c>
      <c r="AH13" s="21" t="str">
        <f aca="false">IF(32&gt;Einstellungen!$C$7,"",COUNTIF(AH$6:AH$10,$A13))</f>
        <v/>
      </c>
      <c r="AI13" s="21" t="str">
        <f aca="false">IF(33&gt;Einstellungen!$C$7,"",COUNTIF(AI$6:AI$10,$A13))</f>
        <v/>
      </c>
      <c r="AJ13" s="21" t="str">
        <f aca="false">IF(34&gt;Einstellungen!$C$7,"",COUNTIF(AJ$6:AJ$10,$A13))</f>
        <v/>
      </c>
      <c r="AK13" s="21" t="str">
        <f aca="false">IF(35&gt;Einstellungen!$C$7,"",COUNTIF(AK$6:AK$10,$A13))</f>
        <v/>
      </c>
      <c r="AL13" s="21" t="str">
        <f aca="false">IF(36&gt;Einstellungen!$C$7,"",COUNTIF(AL$6:AL$10,$A13))</f>
        <v/>
      </c>
      <c r="AM13" s="21" t="str">
        <f aca="false">IF(37&gt;Einstellungen!$C$7,"",COUNTIF(AM$6:AM$10,$A13))</f>
        <v/>
      </c>
      <c r="AN13" s="21" t="str">
        <f aca="false">IF(38&gt;Einstellungen!$C$7,"",COUNTIF(AN$6:AN$10,$A13))</f>
        <v/>
      </c>
      <c r="AO13" s="21" t="str">
        <f aca="false">IF(39&gt;Einstellungen!$C$7,"",COUNTIF(AO$6:AO$10,$A13))</f>
        <v/>
      </c>
      <c r="AP13" s="21" t="str">
        <f aca="false">IF(40&gt;Einstellungen!$C$7,"",COUNTIF(AP$6:AP$10,$A13))</f>
        <v/>
      </c>
      <c r="AQ13" s="21" t="str">
        <f aca="false">IF(41&gt;Einstellungen!$C$7,"",COUNTIF(AQ$6:AQ$10,$A13))</f>
        <v/>
      </c>
      <c r="AR13" s="21" t="str">
        <f aca="false">IF(42&gt;Einstellungen!$C$7,"",COUNTIF(AR$6:AR$10,$A13))</f>
        <v/>
      </c>
      <c r="AS13" s="21" t="str">
        <f aca="false">IF(43&gt;Einstellungen!$C$7,"",COUNTIF(AS$6:AS$10,$A13))</f>
        <v/>
      </c>
      <c r="AT13" s="21" t="str">
        <f aca="false">IF(44&gt;Einstellungen!$C$7,"",COUNTIF(AT$6:AT$10,$A13))</f>
        <v/>
      </c>
      <c r="AU13" s="21" t="str">
        <f aca="false">IF(45&gt;Einstellungen!$C$7,"",COUNTIF(AU$6:AU$10,$A13))</f>
        <v/>
      </c>
      <c r="AV13" s="21" t="str">
        <f aca="false">IF(46&gt;Einstellungen!$C$7,"",COUNTIF(AV$6:AV$10,$A13))</f>
        <v/>
      </c>
      <c r="AW13" s="21" t="str">
        <f aca="false">IF(47&gt;Einstellungen!$C$7,"",COUNTIF(AW$6:AW$10,$A13))</f>
        <v/>
      </c>
      <c r="AX13" s="21" t="str">
        <f aca="false">IF(48&gt;Einstellungen!$C$7,"",COUNTIF(AX$6:AX$10,$A13))</f>
        <v/>
      </c>
      <c r="AY13" s="21" t="str">
        <f aca="false">IF(49&gt;Einstellungen!$C$7,"",COUNTIF(AY$6:AY$10,$A13))</f>
        <v/>
      </c>
      <c r="AZ13" s="21" t="str">
        <f aca="false">IF(50&gt;Einstellungen!$C$7,"",COUNTIF(AZ$6:AZ$10,$A13))</f>
        <v/>
      </c>
      <c r="BA13" s="21" t="str">
        <f aca="false">IF(51&gt;Einstellungen!$C$7,"",COUNTIF(BA$6:BA$10,$A13))</f>
        <v/>
      </c>
      <c r="BB13" s="21" t="str">
        <f aca="false">IF(52&gt;Einstellungen!$C$7,"",COUNTIF(BB$6:BB$10,$A13))</f>
        <v/>
      </c>
      <c r="BC13" s="21" t="str">
        <f aca="false">IF(53&gt;Einstellungen!$C$7,"",COUNTIF(BC$6:BC$10,$A13))</f>
        <v/>
      </c>
      <c r="BD13" s="21" t="str">
        <f aca="false">IF(54&gt;Einstellungen!$C$7,"",COUNTIF(BD$6:BD$10,$A13))</f>
        <v/>
      </c>
      <c r="BE13" s="21" t="str">
        <f aca="false">IF(55&gt;Einstellungen!$C$7,"",COUNTIF(BE$6:BE$10,$A13))</f>
        <v/>
      </c>
      <c r="BF13" s="21" t="str">
        <f aca="false">IF(56&gt;Einstellungen!$C$7,"",COUNTIF(BF$6:BF$10,$A13))</f>
        <v/>
      </c>
    </row>
    <row r="14" customFormat="false" ht="15" hidden="false" customHeight="false" outlineLevel="0" collapsed="false">
      <c r="A14" s="12" t="s">
        <v>53</v>
      </c>
      <c r="C14" s="21" t="n">
        <f aca="false">IF(1&gt;Einstellungen!$C$7,"",COUNTIF(C$6:C$10,$A14))</f>
        <v>1</v>
      </c>
      <c r="D14" s="21" t="n">
        <f aca="false">IF(2&gt;Einstellungen!$C$7,"",COUNTIF(D$6:D$10,$A14))</f>
        <v>1</v>
      </c>
      <c r="E14" s="21" t="n">
        <f aca="false">IF(3&gt;Einstellungen!$C$7,"",COUNTIF(E$6:E$10,$A14))</f>
        <v>1</v>
      </c>
      <c r="F14" s="21" t="n">
        <f aca="false">IF(4&gt;Einstellungen!$C$7,"",COUNTIF(F$6:F$10,$A14))</f>
        <v>1</v>
      </c>
      <c r="G14" s="21" t="n">
        <f aca="false">IF(5&gt;Einstellungen!$C$7,"",COUNTIF(G$6:G$10,$A14))</f>
        <v>1</v>
      </c>
      <c r="H14" s="21" t="n">
        <f aca="false">IF(6&gt;Einstellungen!$C$7,"",COUNTIF(H$6:H$10,$A14))</f>
        <v>1</v>
      </c>
      <c r="I14" s="21" t="n">
        <f aca="false">IF(7&gt;Einstellungen!$C$7,"",COUNTIF(I$6:I$10,$A14))</f>
        <v>1</v>
      </c>
      <c r="J14" s="21" t="n">
        <f aca="false">IF(8&gt;Einstellungen!$C$7,"",COUNTIF(J$6:J$10,$A14))</f>
        <v>1</v>
      </c>
      <c r="K14" s="21" t="str">
        <f aca="false">IF(9&gt;Einstellungen!$C$7,"",COUNTIF(K$6:K$10,$A14))</f>
        <v/>
      </c>
      <c r="L14" s="21" t="str">
        <f aca="false">IF(10&gt;Einstellungen!$C$7,"",COUNTIF(L$6:L$10,$A14))</f>
        <v/>
      </c>
      <c r="M14" s="21" t="str">
        <f aca="false">IF(11&gt;Einstellungen!$C$7,"",COUNTIF(M$6:M$10,$A14))</f>
        <v/>
      </c>
      <c r="N14" s="21" t="str">
        <f aca="false">IF(12&gt;Einstellungen!$C$7,"",COUNTIF(N$6:N$10,$A14))</f>
        <v/>
      </c>
      <c r="O14" s="21" t="str">
        <f aca="false">IF(13&gt;Einstellungen!$C$7,"",COUNTIF(O$6:O$10,$A14))</f>
        <v/>
      </c>
      <c r="P14" s="21" t="str">
        <f aca="false">IF(14&gt;Einstellungen!$C$7,"",COUNTIF(P$6:P$10,$A14))</f>
        <v/>
      </c>
      <c r="Q14" s="21" t="str">
        <f aca="false">IF(15&gt;Einstellungen!$C$7,"",COUNTIF(Q$6:Q$10,$A14))</f>
        <v/>
      </c>
      <c r="R14" s="21" t="str">
        <f aca="false">IF(16&gt;Einstellungen!$C$7,"",COUNTIF(R$6:R$10,$A14))</f>
        <v/>
      </c>
      <c r="S14" s="21" t="str">
        <f aca="false">IF(17&gt;Einstellungen!$C$7,"",COUNTIF(S$6:S$10,$A14))</f>
        <v/>
      </c>
      <c r="T14" s="21" t="str">
        <f aca="false">IF(18&gt;Einstellungen!$C$7,"",COUNTIF(T$6:T$10,$A14))</f>
        <v/>
      </c>
      <c r="U14" s="21" t="str">
        <f aca="false">IF(19&gt;Einstellungen!$C$7,"",COUNTIF(U$6:U$10,$A14))</f>
        <v/>
      </c>
      <c r="V14" s="21" t="str">
        <f aca="false">IF(20&gt;Einstellungen!$C$7,"",COUNTIF(V$6:V$10,$A14))</f>
        <v/>
      </c>
      <c r="W14" s="21" t="str">
        <f aca="false">IF(21&gt;Einstellungen!$C$7,"",COUNTIF(W$6:W$10,$A14))</f>
        <v/>
      </c>
      <c r="X14" s="21" t="str">
        <f aca="false">IF(22&gt;Einstellungen!$C$7,"",COUNTIF(X$6:X$10,$A14))</f>
        <v/>
      </c>
      <c r="Y14" s="21" t="str">
        <f aca="false">IF(23&gt;Einstellungen!$C$7,"",COUNTIF(Y$6:Y$10,$A14))</f>
        <v/>
      </c>
      <c r="Z14" s="21" t="str">
        <f aca="false">IF(24&gt;Einstellungen!$C$7,"",COUNTIF(Z$6:Z$10,$A14))</f>
        <v/>
      </c>
      <c r="AA14" s="21" t="str">
        <f aca="false">IF(25&gt;Einstellungen!$C$7,"",COUNTIF(AA$6:AA$10,$A14))</f>
        <v/>
      </c>
      <c r="AB14" s="21" t="str">
        <f aca="false">IF(26&gt;Einstellungen!$C$7,"",COUNTIF(AB$6:AB$10,$A14))</f>
        <v/>
      </c>
      <c r="AC14" s="21" t="str">
        <f aca="false">IF(27&gt;Einstellungen!$C$7,"",COUNTIF(AC$6:AC$10,$A14))</f>
        <v/>
      </c>
      <c r="AD14" s="21" t="str">
        <f aca="false">IF(28&gt;Einstellungen!$C$7,"",COUNTIF(AD$6:AD$10,$A14))</f>
        <v/>
      </c>
      <c r="AE14" s="21" t="str">
        <f aca="false">IF(29&gt;Einstellungen!$C$7,"",COUNTIF(AE$6:AE$10,$A14))</f>
        <v/>
      </c>
      <c r="AF14" s="21" t="str">
        <f aca="false">IF(30&gt;Einstellungen!$C$7,"",COUNTIF(AF$6:AF$10,$A14))</f>
        <v/>
      </c>
      <c r="AG14" s="21" t="str">
        <f aca="false">IF(31&gt;Einstellungen!$C$7,"",COUNTIF(AG$6:AG$10,$A14))</f>
        <v/>
      </c>
      <c r="AH14" s="21" t="str">
        <f aca="false">IF(32&gt;Einstellungen!$C$7,"",COUNTIF(AH$6:AH$10,$A14))</f>
        <v/>
      </c>
      <c r="AI14" s="21" t="str">
        <f aca="false">IF(33&gt;Einstellungen!$C$7,"",COUNTIF(AI$6:AI$10,$A14))</f>
        <v/>
      </c>
      <c r="AJ14" s="21" t="str">
        <f aca="false">IF(34&gt;Einstellungen!$C$7,"",COUNTIF(AJ$6:AJ$10,$A14))</f>
        <v/>
      </c>
      <c r="AK14" s="21" t="str">
        <f aca="false">IF(35&gt;Einstellungen!$C$7,"",COUNTIF(AK$6:AK$10,$A14))</f>
        <v/>
      </c>
      <c r="AL14" s="21" t="str">
        <f aca="false">IF(36&gt;Einstellungen!$C$7,"",COUNTIF(AL$6:AL$10,$A14))</f>
        <v/>
      </c>
      <c r="AM14" s="21" t="str">
        <f aca="false">IF(37&gt;Einstellungen!$C$7,"",COUNTIF(AM$6:AM$10,$A14))</f>
        <v/>
      </c>
      <c r="AN14" s="21" t="str">
        <f aca="false">IF(38&gt;Einstellungen!$C$7,"",COUNTIF(AN$6:AN$10,$A14))</f>
        <v/>
      </c>
      <c r="AO14" s="21" t="str">
        <f aca="false">IF(39&gt;Einstellungen!$C$7,"",COUNTIF(AO$6:AO$10,$A14))</f>
        <v/>
      </c>
      <c r="AP14" s="21" t="str">
        <f aca="false">IF(40&gt;Einstellungen!$C$7,"",COUNTIF(AP$6:AP$10,$A14))</f>
        <v/>
      </c>
      <c r="AQ14" s="21" t="str">
        <f aca="false">IF(41&gt;Einstellungen!$C$7,"",COUNTIF(AQ$6:AQ$10,$A14))</f>
        <v/>
      </c>
      <c r="AR14" s="21" t="str">
        <f aca="false">IF(42&gt;Einstellungen!$C$7,"",COUNTIF(AR$6:AR$10,$A14))</f>
        <v/>
      </c>
      <c r="AS14" s="21" t="str">
        <f aca="false">IF(43&gt;Einstellungen!$C$7,"",COUNTIF(AS$6:AS$10,$A14))</f>
        <v/>
      </c>
      <c r="AT14" s="21" t="str">
        <f aca="false">IF(44&gt;Einstellungen!$C$7,"",COUNTIF(AT$6:AT$10,$A14))</f>
        <v/>
      </c>
      <c r="AU14" s="21" t="str">
        <f aca="false">IF(45&gt;Einstellungen!$C$7,"",COUNTIF(AU$6:AU$10,$A14))</f>
        <v/>
      </c>
      <c r="AV14" s="21" t="str">
        <f aca="false">IF(46&gt;Einstellungen!$C$7,"",COUNTIF(AV$6:AV$10,$A14))</f>
        <v/>
      </c>
      <c r="AW14" s="21" t="str">
        <f aca="false">IF(47&gt;Einstellungen!$C$7,"",COUNTIF(AW$6:AW$10,$A14))</f>
        <v/>
      </c>
      <c r="AX14" s="21" t="str">
        <f aca="false">IF(48&gt;Einstellungen!$C$7,"",COUNTIF(AX$6:AX$10,$A14))</f>
        <v/>
      </c>
      <c r="AY14" s="21" t="str">
        <f aca="false">IF(49&gt;Einstellungen!$C$7,"",COUNTIF(AY$6:AY$10,$A14))</f>
        <v/>
      </c>
      <c r="AZ14" s="21" t="str">
        <f aca="false">IF(50&gt;Einstellungen!$C$7,"",COUNTIF(AZ$6:AZ$10,$A14))</f>
        <v/>
      </c>
      <c r="BA14" s="21" t="str">
        <f aca="false">IF(51&gt;Einstellungen!$C$7,"",COUNTIF(BA$6:BA$10,$A14))</f>
        <v/>
      </c>
      <c r="BB14" s="21" t="str">
        <f aca="false">IF(52&gt;Einstellungen!$C$7,"",COUNTIF(BB$6:BB$10,$A14))</f>
        <v/>
      </c>
      <c r="BC14" s="21" t="str">
        <f aca="false">IF(53&gt;Einstellungen!$C$7,"",COUNTIF(BC$6:BC$10,$A14))</f>
        <v/>
      </c>
      <c r="BD14" s="21" t="str">
        <f aca="false">IF(54&gt;Einstellungen!$C$7,"",COUNTIF(BD$6:BD$10,$A14))</f>
        <v/>
      </c>
      <c r="BE14" s="21" t="str">
        <f aca="false">IF(55&gt;Einstellungen!$C$7,"",COUNTIF(BE$6:BE$10,$A14))</f>
        <v/>
      </c>
      <c r="BF14" s="21" t="str">
        <f aca="false">IF(56&gt;Einstellungen!$C$7,"",COUNTIF(BF$6:BF$10,$A14))</f>
        <v/>
      </c>
    </row>
    <row r="15" customFormat="false" ht="15" hidden="false" customHeight="false" outlineLevel="0" collapsed="false">
      <c r="A15" s="12" t="s">
        <v>55</v>
      </c>
      <c r="C15" s="21" t="n">
        <f aca="false">IF(1&gt;Einstellungen!$C$7,"",COUNTIF(C$6:C$10,$A15))</f>
        <v>1</v>
      </c>
      <c r="D15" s="21" t="n">
        <f aca="false">IF(2&gt;Einstellungen!$C$7,"",COUNTIF(D$6:D$10,$A15))</f>
        <v>1</v>
      </c>
      <c r="E15" s="21" t="n">
        <f aca="false">IF(3&gt;Einstellungen!$C$7,"",COUNTIF(E$6:E$10,$A15))</f>
        <v>1</v>
      </c>
      <c r="F15" s="21" t="n">
        <f aca="false">IF(4&gt;Einstellungen!$C$7,"",COUNTIF(F$6:F$10,$A15))</f>
        <v>1</v>
      </c>
      <c r="G15" s="21" t="n">
        <f aca="false">IF(5&gt;Einstellungen!$C$7,"",COUNTIF(G$6:G$10,$A15))</f>
        <v>1</v>
      </c>
      <c r="H15" s="21" t="n">
        <f aca="false">IF(6&gt;Einstellungen!$C$7,"",COUNTIF(H$6:H$10,$A15))</f>
        <v>1</v>
      </c>
      <c r="I15" s="21" t="n">
        <f aca="false">IF(7&gt;Einstellungen!$C$7,"",COUNTIF(I$6:I$10,$A15))</f>
        <v>1</v>
      </c>
      <c r="J15" s="21" t="n">
        <f aca="false">IF(8&gt;Einstellungen!$C$7,"",COUNTIF(J$6:J$10,$A15))</f>
        <v>1</v>
      </c>
      <c r="K15" s="21" t="str">
        <f aca="false">IF(9&gt;Einstellungen!$C$7,"",COUNTIF(K$6:K$10,$A15))</f>
        <v/>
      </c>
      <c r="L15" s="21" t="str">
        <f aca="false">IF(10&gt;Einstellungen!$C$7,"",COUNTIF(L$6:L$10,$A15))</f>
        <v/>
      </c>
      <c r="M15" s="21" t="str">
        <f aca="false">IF(11&gt;Einstellungen!$C$7,"",COUNTIF(M$6:M$10,$A15))</f>
        <v/>
      </c>
      <c r="N15" s="21" t="str">
        <f aca="false">IF(12&gt;Einstellungen!$C$7,"",COUNTIF(N$6:N$10,$A15))</f>
        <v/>
      </c>
      <c r="O15" s="21" t="str">
        <f aca="false">IF(13&gt;Einstellungen!$C$7,"",COUNTIF(O$6:O$10,$A15))</f>
        <v/>
      </c>
      <c r="P15" s="21" t="str">
        <f aca="false">IF(14&gt;Einstellungen!$C$7,"",COUNTIF(P$6:P$10,$A15))</f>
        <v/>
      </c>
      <c r="Q15" s="21" t="str">
        <f aca="false">IF(15&gt;Einstellungen!$C$7,"",COUNTIF(Q$6:Q$10,$A15))</f>
        <v/>
      </c>
      <c r="R15" s="21" t="str">
        <f aca="false">IF(16&gt;Einstellungen!$C$7,"",COUNTIF(R$6:R$10,$A15))</f>
        <v/>
      </c>
      <c r="S15" s="21" t="str">
        <f aca="false">IF(17&gt;Einstellungen!$C$7,"",COUNTIF(S$6:S$10,$A15))</f>
        <v/>
      </c>
      <c r="T15" s="21" t="str">
        <f aca="false">IF(18&gt;Einstellungen!$C$7,"",COUNTIF(T$6:T$10,$A15))</f>
        <v/>
      </c>
      <c r="U15" s="21" t="str">
        <f aca="false">IF(19&gt;Einstellungen!$C$7,"",COUNTIF(U$6:U$10,$A15))</f>
        <v/>
      </c>
      <c r="V15" s="21" t="str">
        <f aca="false">IF(20&gt;Einstellungen!$C$7,"",COUNTIF(V$6:V$10,$A15))</f>
        <v/>
      </c>
      <c r="W15" s="21" t="str">
        <f aca="false">IF(21&gt;Einstellungen!$C$7,"",COUNTIF(W$6:W$10,$A15))</f>
        <v/>
      </c>
      <c r="X15" s="21" t="str">
        <f aca="false">IF(22&gt;Einstellungen!$C$7,"",COUNTIF(X$6:X$10,$A15))</f>
        <v/>
      </c>
      <c r="Y15" s="21" t="str">
        <f aca="false">IF(23&gt;Einstellungen!$C$7,"",COUNTIF(Y$6:Y$10,$A15))</f>
        <v/>
      </c>
      <c r="Z15" s="21" t="str">
        <f aca="false">IF(24&gt;Einstellungen!$C$7,"",COUNTIF(Z$6:Z$10,$A15))</f>
        <v/>
      </c>
      <c r="AA15" s="21" t="str">
        <f aca="false">IF(25&gt;Einstellungen!$C$7,"",COUNTIF(AA$6:AA$10,$A15))</f>
        <v/>
      </c>
      <c r="AB15" s="21" t="str">
        <f aca="false">IF(26&gt;Einstellungen!$C$7,"",COUNTIF(AB$6:AB$10,$A15))</f>
        <v/>
      </c>
      <c r="AC15" s="21" t="str">
        <f aca="false">IF(27&gt;Einstellungen!$C$7,"",COUNTIF(AC$6:AC$10,$A15))</f>
        <v/>
      </c>
      <c r="AD15" s="21" t="str">
        <f aca="false">IF(28&gt;Einstellungen!$C$7,"",COUNTIF(AD$6:AD$10,$A15))</f>
        <v/>
      </c>
      <c r="AE15" s="21" t="str">
        <f aca="false">IF(29&gt;Einstellungen!$C$7,"",COUNTIF(AE$6:AE$10,$A15))</f>
        <v/>
      </c>
      <c r="AF15" s="21" t="str">
        <f aca="false">IF(30&gt;Einstellungen!$C$7,"",COUNTIF(AF$6:AF$10,$A15))</f>
        <v/>
      </c>
      <c r="AG15" s="21" t="str">
        <f aca="false">IF(31&gt;Einstellungen!$C$7,"",COUNTIF(AG$6:AG$10,$A15))</f>
        <v/>
      </c>
      <c r="AH15" s="21" t="str">
        <f aca="false">IF(32&gt;Einstellungen!$C$7,"",COUNTIF(AH$6:AH$10,$A15))</f>
        <v/>
      </c>
      <c r="AI15" s="21" t="str">
        <f aca="false">IF(33&gt;Einstellungen!$C$7,"",COUNTIF(AI$6:AI$10,$A15))</f>
        <v/>
      </c>
      <c r="AJ15" s="21" t="str">
        <f aca="false">IF(34&gt;Einstellungen!$C$7,"",COUNTIF(AJ$6:AJ$10,$A15))</f>
        <v/>
      </c>
      <c r="AK15" s="21" t="str">
        <f aca="false">IF(35&gt;Einstellungen!$C$7,"",COUNTIF(AK$6:AK$10,$A15))</f>
        <v/>
      </c>
      <c r="AL15" s="21" t="str">
        <f aca="false">IF(36&gt;Einstellungen!$C$7,"",COUNTIF(AL$6:AL$10,$A15))</f>
        <v/>
      </c>
      <c r="AM15" s="21" t="str">
        <f aca="false">IF(37&gt;Einstellungen!$C$7,"",COUNTIF(AM$6:AM$10,$A15))</f>
        <v/>
      </c>
      <c r="AN15" s="21" t="str">
        <f aca="false">IF(38&gt;Einstellungen!$C$7,"",COUNTIF(AN$6:AN$10,$A15))</f>
        <v/>
      </c>
      <c r="AO15" s="21" t="str">
        <f aca="false">IF(39&gt;Einstellungen!$C$7,"",COUNTIF(AO$6:AO$10,$A15))</f>
        <v/>
      </c>
      <c r="AP15" s="21" t="str">
        <f aca="false">IF(40&gt;Einstellungen!$C$7,"",COUNTIF(AP$6:AP$10,$A15))</f>
        <v/>
      </c>
      <c r="AQ15" s="21" t="str">
        <f aca="false">IF(41&gt;Einstellungen!$C$7,"",COUNTIF(AQ$6:AQ$10,$A15))</f>
        <v/>
      </c>
      <c r="AR15" s="21" t="str">
        <f aca="false">IF(42&gt;Einstellungen!$C$7,"",COUNTIF(AR$6:AR$10,$A15))</f>
        <v/>
      </c>
      <c r="AS15" s="21" t="str">
        <f aca="false">IF(43&gt;Einstellungen!$C$7,"",COUNTIF(AS$6:AS$10,$A15))</f>
        <v/>
      </c>
      <c r="AT15" s="21" t="str">
        <f aca="false">IF(44&gt;Einstellungen!$C$7,"",COUNTIF(AT$6:AT$10,$A15))</f>
        <v/>
      </c>
      <c r="AU15" s="21" t="str">
        <f aca="false">IF(45&gt;Einstellungen!$C$7,"",COUNTIF(AU$6:AU$10,$A15))</f>
        <v/>
      </c>
      <c r="AV15" s="21" t="str">
        <f aca="false">IF(46&gt;Einstellungen!$C$7,"",COUNTIF(AV$6:AV$10,$A15))</f>
        <v/>
      </c>
      <c r="AW15" s="21" t="str">
        <f aca="false">IF(47&gt;Einstellungen!$C$7,"",COUNTIF(AW$6:AW$10,$A15))</f>
        <v/>
      </c>
      <c r="AX15" s="21" t="str">
        <f aca="false">IF(48&gt;Einstellungen!$C$7,"",COUNTIF(AX$6:AX$10,$A15))</f>
        <v/>
      </c>
      <c r="AY15" s="21" t="str">
        <f aca="false">IF(49&gt;Einstellungen!$C$7,"",COUNTIF(AY$6:AY$10,$A15))</f>
        <v/>
      </c>
      <c r="AZ15" s="21" t="str">
        <f aca="false">IF(50&gt;Einstellungen!$C$7,"",COUNTIF(AZ$6:AZ$10,$A15))</f>
        <v/>
      </c>
      <c r="BA15" s="21" t="str">
        <f aca="false">IF(51&gt;Einstellungen!$C$7,"",COUNTIF(BA$6:BA$10,$A15))</f>
        <v/>
      </c>
      <c r="BB15" s="21" t="str">
        <f aca="false">IF(52&gt;Einstellungen!$C$7,"",COUNTIF(BB$6:BB$10,$A15))</f>
        <v/>
      </c>
      <c r="BC15" s="21" t="str">
        <f aca="false">IF(53&gt;Einstellungen!$C$7,"",COUNTIF(BC$6:BC$10,$A15))</f>
        <v/>
      </c>
      <c r="BD15" s="21" t="str">
        <f aca="false">IF(54&gt;Einstellungen!$C$7,"",COUNTIF(BD$6:BD$10,$A15))</f>
        <v/>
      </c>
      <c r="BE15" s="21" t="str">
        <f aca="false">IF(55&gt;Einstellungen!$C$7,"",COUNTIF(BE$6:BE$10,$A15))</f>
        <v/>
      </c>
      <c r="BF15" s="21" t="str">
        <f aca="false">IF(56&gt;Einstellungen!$C$7,"",COUNTIF(BF$6:BF$10,$A15))</f>
        <v/>
      </c>
    </row>
    <row r="16" customFormat="false" ht="15" hidden="false" customHeight="false" outlineLevel="0" collapsed="false">
      <c r="A16" s="12" t="s">
        <v>57</v>
      </c>
      <c r="C16" s="21" t="n">
        <f aca="false">IF(1&gt;Einstellungen!$C$7,"",COUNTIF(C$6:C$10,$A16))</f>
        <v>0</v>
      </c>
      <c r="D16" s="21" t="n">
        <f aca="false">IF(2&gt;Einstellungen!$C$7,"",COUNTIF(D$6:D$10,$A16))</f>
        <v>0</v>
      </c>
      <c r="E16" s="21" t="n">
        <f aca="false">IF(3&gt;Einstellungen!$C$7,"",COUNTIF(E$6:E$10,$A16))</f>
        <v>0</v>
      </c>
      <c r="F16" s="21" t="n">
        <f aca="false">IF(4&gt;Einstellungen!$C$7,"",COUNTIF(F$6:F$10,$A16))</f>
        <v>0</v>
      </c>
      <c r="G16" s="21" t="n">
        <f aca="false">IF(5&gt;Einstellungen!$C$7,"",COUNTIF(G$6:G$10,$A16))</f>
        <v>0</v>
      </c>
      <c r="H16" s="21" t="n">
        <f aca="false">IF(6&gt;Einstellungen!$C$7,"",COUNTIF(H$6:H$10,$A16))</f>
        <v>0</v>
      </c>
      <c r="I16" s="21" t="n">
        <f aca="false">IF(7&gt;Einstellungen!$C$7,"",COUNTIF(I$6:I$10,$A16))</f>
        <v>0</v>
      </c>
      <c r="J16" s="21" t="n">
        <f aca="false">IF(8&gt;Einstellungen!$C$7,"",COUNTIF(J$6:J$10,$A16))</f>
        <v>0</v>
      </c>
      <c r="K16" s="21" t="str">
        <f aca="false">IF(9&gt;Einstellungen!$C$7,"",COUNTIF(K$6:K$10,$A16))</f>
        <v/>
      </c>
      <c r="L16" s="21" t="str">
        <f aca="false">IF(10&gt;Einstellungen!$C$7,"",COUNTIF(L$6:L$10,$A16))</f>
        <v/>
      </c>
      <c r="M16" s="21" t="str">
        <f aca="false">IF(11&gt;Einstellungen!$C$7,"",COUNTIF(M$6:M$10,$A16))</f>
        <v/>
      </c>
      <c r="N16" s="21" t="str">
        <f aca="false">IF(12&gt;Einstellungen!$C$7,"",COUNTIF(N$6:N$10,$A16))</f>
        <v/>
      </c>
      <c r="O16" s="21" t="str">
        <f aca="false">IF(13&gt;Einstellungen!$C$7,"",COUNTIF(O$6:O$10,$A16))</f>
        <v/>
      </c>
      <c r="P16" s="21" t="str">
        <f aca="false">IF(14&gt;Einstellungen!$C$7,"",COUNTIF(P$6:P$10,$A16))</f>
        <v/>
      </c>
      <c r="Q16" s="21" t="str">
        <f aca="false">IF(15&gt;Einstellungen!$C$7,"",COUNTIF(Q$6:Q$10,$A16))</f>
        <v/>
      </c>
      <c r="R16" s="21" t="str">
        <f aca="false">IF(16&gt;Einstellungen!$C$7,"",COUNTIF(R$6:R$10,$A16))</f>
        <v/>
      </c>
      <c r="S16" s="21" t="str">
        <f aca="false">IF(17&gt;Einstellungen!$C$7,"",COUNTIF(S$6:S$10,$A16))</f>
        <v/>
      </c>
      <c r="T16" s="21" t="str">
        <f aca="false">IF(18&gt;Einstellungen!$C$7,"",COUNTIF(T$6:T$10,$A16))</f>
        <v/>
      </c>
      <c r="U16" s="21" t="str">
        <f aca="false">IF(19&gt;Einstellungen!$C$7,"",COUNTIF(U$6:U$10,$A16))</f>
        <v/>
      </c>
      <c r="V16" s="21" t="str">
        <f aca="false">IF(20&gt;Einstellungen!$C$7,"",COUNTIF(V$6:V$10,$A16))</f>
        <v/>
      </c>
      <c r="W16" s="21" t="str">
        <f aca="false">IF(21&gt;Einstellungen!$C$7,"",COUNTIF(W$6:W$10,$A16))</f>
        <v/>
      </c>
      <c r="X16" s="21" t="str">
        <f aca="false">IF(22&gt;Einstellungen!$C$7,"",COUNTIF(X$6:X$10,$A16))</f>
        <v/>
      </c>
      <c r="Y16" s="21" t="str">
        <f aca="false">IF(23&gt;Einstellungen!$C$7,"",COUNTIF(Y$6:Y$10,$A16))</f>
        <v/>
      </c>
      <c r="Z16" s="21" t="str">
        <f aca="false">IF(24&gt;Einstellungen!$C$7,"",COUNTIF(Z$6:Z$10,$A16))</f>
        <v/>
      </c>
      <c r="AA16" s="21" t="str">
        <f aca="false">IF(25&gt;Einstellungen!$C$7,"",COUNTIF(AA$6:AA$10,$A16))</f>
        <v/>
      </c>
      <c r="AB16" s="21" t="str">
        <f aca="false">IF(26&gt;Einstellungen!$C$7,"",COUNTIF(AB$6:AB$10,$A16))</f>
        <v/>
      </c>
      <c r="AC16" s="21" t="str">
        <f aca="false">IF(27&gt;Einstellungen!$C$7,"",COUNTIF(AC$6:AC$10,$A16))</f>
        <v/>
      </c>
      <c r="AD16" s="21" t="str">
        <f aca="false">IF(28&gt;Einstellungen!$C$7,"",COUNTIF(AD$6:AD$10,$A16))</f>
        <v/>
      </c>
      <c r="AE16" s="21" t="str">
        <f aca="false">IF(29&gt;Einstellungen!$C$7,"",COUNTIF(AE$6:AE$10,$A16))</f>
        <v/>
      </c>
      <c r="AF16" s="21" t="str">
        <f aca="false">IF(30&gt;Einstellungen!$C$7,"",COUNTIF(AF$6:AF$10,$A16))</f>
        <v/>
      </c>
      <c r="AG16" s="21" t="str">
        <f aca="false">IF(31&gt;Einstellungen!$C$7,"",COUNTIF(AG$6:AG$10,$A16))</f>
        <v/>
      </c>
      <c r="AH16" s="21" t="str">
        <f aca="false">IF(32&gt;Einstellungen!$C$7,"",COUNTIF(AH$6:AH$10,$A16))</f>
        <v/>
      </c>
      <c r="AI16" s="21" t="str">
        <f aca="false">IF(33&gt;Einstellungen!$C$7,"",COUNTIF(AI$6:AI$10,$A16))</f>
        <v/>
      </c>
      <c r="AJ16" s="21" t="str">
        <f aca="false">IF(34&gt;Einstellungen!$C$7,"",COUNTIF(AJ$6:AJ$10,$A16))</f>
        <v/>
      </c>
      <c r="AK16" s="21" t="str">
        <f aca="false">IF(35&gt;Einstellungen!$C$7,"",COUNTIF(AK$6:AK$10,$A16))</f>
        <v/>
      </c>
      <c r="AL16" s="21" t="str">
        <f aca="false">IF(36&gt;Einstellungen!$C$7,"",COUNTIF(AL$6:AL$10,$A16))</f>
        <v/>
      </c>
      <c r="AM16" s="21" t="str">
        <f aca="false">IF(37&gt;Einstellungen!$C$7,"",COUNTIF(AM$6:AM$10,$A16))</f>
        <v/>
      </c>
      <c r="AN16" s="21" t="str">
        <f aca="false">IF(38&gt;Einstellungen!$C$7,"",COUNTIF(AN$6:AN$10,$A16))</f>
        <v/>
      </c>
      <c r="AO16" s="21" t="str">
        <f aca="false">IF(39&gt;Einstellungen!$C$7,"",COUNTIF(AO$6:AO$10,$A16))</f>
        <v/>
      </c>
      <c r="AP16" s="21" t="str">
        <f aca="false">IF(40&gt;Einstellungen!$C$7,"",COUNTIF(AP$6:AP$10,$A16))</f>
        <v/>
      </c>
      <c r="AQ16" s="21" t="str">
        <f aca="false">IF(41&gt;Einstellungen!$C$7,"",COUNTIF(AQ$6:AQ$10,$A16))</f>
        <v/>
      </c>
      <c r="AR16" s="21" t="str">
        <f aca="false">IF(42&gt;Einstellungen!$C$7,"",COUNTIF(AR$6:AR$10,$A16))</f>
        <v/>
      </c>
      <c r="AS16" s="21" t="str">
        <f aca="false">IF(43&gt;Einstellungen!$C$7,"",COUNTIF(AS$6:AS$10,$A16))</f>
        <v/>
      </c>
      <c r="AT16" s="21" t="str">
        <f aca="false">IF(44&gt;Einstellungen!$C$7,"",COUNTIF(AT$6:AT$10,$A16))</f>
        <v/>
      </c>
      <c r="AU16" s="21" t="str">
        <f aca="false">IF(45&gt;Einstellungen!$C$7,"",COUNTIF(AU$6:AU$10,$A16))</f>
        <v/>
      </c>
      <c r="AV16" s="21" t="str">
        <f aca="false">IF(46&gt;Einstellungen!$C$7,"",COUNTIF(AV$6:AV$10,$A16))</f>
        <v/>
      </c>
      <c r="AW16" s="21" t="str">
        <f aca="false">IF(47&gt;Einstellungen!$C$7,"",COUNTIF(AW$6:AW$10,$A16))</f>
        <v/>
      </c>
      <c r="AX16" s="21" t="str">
        <f aca="false">IF(48&gt;Einstellungen!$C$7,"",COUNTIF(AX$6:AX$10,$A16))</f>
        <v/>
      </c>
      <c r="AY16" s="21" t="str">
        <f aca="false">IF(49&gt;Einstellungen!$C$7,"",COUNTIF(AY$6:AY$10,$A16))</f>
        <v/>
      </c>
      <c r="AZ16" s="21" t="str">
        <f aca="false">IF(50&gt;Einstellungen!$C$7,"",COUNTIF(AZ$6:AZ$10,$A16))</f>
        <v/>
      </c>
      <c r="BA16" s="21" t="str">
        <f aca="false">IF(51&gt;Einstellungen!$C$7,"",COUNTIF(BA$6:BA$10,$A16))</f>
        <v/>
      </c>
      <c r="BB16" s="21" t="str">
        <f aca="false">IF(52&gt;Einstellungen!$C$7,"",COUNTIF(BB$6:BB$10,$A16))</f>
        <v/>
      </c>
      <c r="BC16" s="21" t="str">
        <f aca="false">IF(53&gt;Einstellungen!$C$7,"",COUNTIF(BC$6:BC$10,$A16))</f>
        <v/>
      </c>
      <c r="BD16" s="21" t="str">
        <f aca="false">IF(54&gt;Einstellungen!$C$7,"",COUNTIF(BD$6:BD$10,$A16))</f>
        <v/>
      </c>
      <c r="BE16" s="21" t="str">
        <f aca="false">IF(55&gt;Einstellungen!$C$7,"",COUNTIF(BE$6:BE$10,$A16))</f>
        <v/>
      </c>
      <c r="BF16" s="21" t="str">
        <f aca="false">IF(56&gt;Einstellungen!$C$7,"",COUNTIF(BF$6:BF$10,$A16))</f>
        <v/>
      </c>
    </row>
    <row r="17" customFormat="false" ht="15" hidden="false" customHeight="false" outlineLevel="0" collapsed="false">
      <c r="A17" s="12" t="s">
        <v>59</v>
      </c>
      <c r="C17" s="21" t="n">
        <f aca="false">IF(1&gt;Einstellungen!$C$7,"",COUNTIF(C$6:C$10,$A17))</f>
        <v>0</v>
      </c>
      <c r="D17" s="21" t="n">
        <f aca="false">IF(2&gt;Einstellungen!$C$7,"",COUNTIF(D$6:D$10,$A17))</f>
        <v>0</v>
      </c>
      <c r="E17" s="21" t="n">
        <f aca="false">IF(3&gt;Einstellungen!$C$7,"",COUNTIF(E$6:E$10,$A17))</f>
        <v>0</v>
      </c>
      <c r="F17" s="21" t="n">
        <f aca="false">IF(4&gt;Einstellungen!$C$7,"",COUNTIF(F$6:F$10,$A17))</f>
        <v>0</v>
      </c>
      <c r="G17" s="21" t="n">
        <f aca="false">IF(5&gt;Einstellungen!$C$7,"",COUNTIF(G$6:G$10,$A17))</f>
        <v>0</v>
      </c>
      <c r="H17" s="21" t="n">
        <f aca="false">IF(6&gt;Einstellungen!$C$7,"",COUNTIF(H$6:H$10,$A17))</f>
        <v>0</v>
      </c>
      <c r="I17" s="21" t="n">
        <f aca="false">IF(7&gt;Einstellungen!$C$7,"",COUNTIF(I$6:I$10,$A17))</f>
        <v>0</v>
      </c>
      <c r="J17" s="21" t="n">
        <f aca="false">IF(8&gt;Einstellungen!$C$7,"",COUNTIF(J$6:J$10,$A17))</f>
        <v>0</v>
      </c>
      <c r="K17" s="21" t="str">
        <f aca="false">IF(9&gt;Einstellungen!$C$7,"",COUNTIF(K$6:K$10,$A17))</f>
        <v/>
      </c>
      <c r="L17" s="21" t="str">
        <f aca="false">IF(10&gt;Einstellungen!$C$7,"",COUNTIF(L$6:L$10,$A17))</f>
        <v/>
      </c>
      <c r="M17" s="21" t="str">
        <f aca="false">IF(11&gt;Einstellungen!$C$7,"",COUNTIF(M$6:M$10,$A17))</f>
        <v/>
      </c>
      <c r="N17" s="21" t="str">
        <f aca="false">IF(12&gt;Einstellungen!$C$7,"",COUNTIF(N$6:N$10,$A17))</f>
        <v/>
      </c>
      <c r="O17" s="21" t="str">
        <f aca="false">IF(13&gt;Einstellungen!$C$7,"",COUNTIF(O$6:O$10,$A17))</f>
        <v/>
      </c>
      <c r="P17" s="21" t="str">
        <f aca="false">IF(14&gt;Einstellungen!$C$7,"",COUNTIF(P$6:P$10,$A17))</f>
        <v/>
      </c>
      <c r="Q17" s="21" t="str">
        <f aca="false">IF(15&gt;Einstellungen!$C$7,"",COUNTIF(Q$6:Q$10,$A17))</f>
        <v/>
      </c>
      <c r="R17" s="21" t="str">
        <f aca="false">IF(16&gt;Einstellungen!$C$7,"",COUNTIF(R$6:R$10,$A17))</f>
        <v/>
      </c>
      <c r="S17" s="21" t="str">
        <f aca="false">IF(17&gt;Einstellungen!$C$7,"",COUNTIF(S$6:S$10,$A17))</f>
        <v/>
      </c>
      <c r="T17" s="21" t="str">
        <f aca="false">IF(18&gt;Einstellungen!$C$7,"",COUNTIF(T$6:T$10,$A17))</f>
        <v/>
      </c>
      <c r="U17" s="21" t="str">
        <f aca="false">IF(19&gt;Einstellungen!$C$7,"",COUNTIF(U$6:U$10,$A17))</f>
        <v/>
      </c>
      <c r="V17" s="21" t="str">
        <f aca="false">IF(20&gt;Einstellungen!$C$7,"",COUNTIF(V$6:V$10,$A17))</f>
        <v/>
      </c>
      <c r="W17" s="21" t="str">
        <f aca="false">IF(21&gt;Einstellungen!$C$7,"",COUNTIF(W$6:W$10,$A17))</f>
        <v/>
      </c>
      <c r="X17" s="21" t="str">
        <f aca="false">IF(22&gt;Einstellungen!$C$7,"",COUNTIF(X$6:X$10,$A17))</f>
        <v/>
      </c>
      <c r="Y17" s="21" t="str">
        <f aca="false">IF(23&gt;Einstellungen!$C$7,"",COUNTIF(Y$6:Y$10,$A17))</f>
        <v/>
      </c>
      <c r="Z17" s="21" t="str">
        <f aca="false">IF(24&gt;Einstellungen!$C$7,"",COUNTIF(Z$6:Z$10,$A17))</f>
        <v/>
      </c>
      <c r="AA17" s="21" t="str">
        <f aca="false">IF(25&gt;Einstellungen!$C$7,"",COUNTIF(AA$6:AA$10,$A17))</f>
        <v/>
      </c>
      <c r="AB17" s="21" t="str">
        <f aca="false">IF(26&gt;Einstellungen!$C$7,"",COUNTIF(AB$6:AB$10,$A17))</f>
        <v/>
      </c>
      <c r="AC17" s="21" t="str">
        <f aca="false">IF(27&gt;Einstellungen!$C$7,"",COUNTIF(AC$6:AC$10,$A17))</f>
        <v/>
      </c>
      <c r="AD17" s="21" t="str">
        <f aca="false">IF(28&gt;Einstellungen!$C$7,"",COUNTIF(AD$6:AD$10,$A17))</f>
        <v/>
      </c>
      <c r="AE17" s="21" t="str">
        <f aca="false">IF(29&gt;Einstellungen!$C$7,"",COUNTIF(AE$6:AE$10,$A17))</f>
        <v/>
      </c>
      <c r="AF17" s="21" t="str">
        <f aca="false">IF(30&gt;Einstellungen!$C$7,"",COUNTIF(AF$6:AF$10,$A17))</f>
        <v/>
      </c>
      <c r="AG17" s="21" t="str">
        <f aca="false">IF(31&gt;Einstellungen!$C$7,"",COUNTIF(AG$6:AG$10,$A17))</f>
        <v/>
      </c>
      <c r="AH17" s="21" t="str">
        <f aca="false">IF(32&gt;Einstellungen!$C$7,"",COUNTIF(AH$6:AH$10,$A17))</f>
        <v/>
      </c>
      <c r="AI17" s="21" t="str">
        <f aca="false">IF(33&gt;Einstellungen!$C$7,"",COUNTIF(AI$6:AI$10,$A17))</f>
        <v/>
      </c>
      <c r="AJ17" s="21" t="str">
        <f aca="false">IF(34&gt;Einstellungen!$C$7,"",COUNTIF(AJ$6:AJ$10,$A17))</f>
        <v/>
      </c>
      <c r="AK17" s="21" t="str">
        <f aca="false">IF(35&gt;Einstellungen!$C$7,"",COUNTIF(AK$6:AK$10,$A17))</f>
        <v/>
      </c>
      <c r="AL17" s="21" t="str">
        <f aca="false">IF(36&gt;Einstellungen!$C$7,"",COUNTIF(AL$6:AL$10,$A17))</f>
        <v/>
      </c>
      <c r="AM17" s="21" t="str">
        <f aca="false">IF(37&gt;Einstellungen!$C$7,"",COUNTIF(AM$6:AM$10,$A17))</f>
        <v/>
      </c>
      <c r="AN17" s="21" t="str">
        <f aca="false">IF(38&gt;Einstellungen!$C$7,"",COUNTIF(AN$6:AN$10,$A17))</f>
        <v/>
      </c>
      <c r="AO17" s="21" t="str">
        <f aca="false">IF(39&gt;Einstellungen!$C$7,"",COUNTIF(AO$6:AO$10,$A17))</f>
        <v/>
      </c>
      <c r="AP17" s="21" t="str">
        <f aca="false">IF(40&gt;Einstellungen!$C$7,"",COUNTIF(AP$6:AP$10,$A17))</f>
        <v/>
      </c>
      <c r="AQ17" s="21" t="str">
        <f aca="false">IF(41&gt;Einstellungen!$C$7,"",COUNTIF(AQ$6:AQ$10,$A17))</f>
        <v/>
      </c>
      <c r="AR17" s="21" t="str">
        <f aca="false">IF(42&gt;Einstellungen!$C$7,"",COUNTIF(AR$6:AR$10,$A17))</f>
        <v/>
      </c>
      <c r="AS17" s="21" t="str">
        <f aca="false">IF(43&gt;Einstellungen!$C$7,"",COUNTIF(AS$6:AS$10,$A17))</f>
        <v/>
      </c>
      <c r="AT17" s="21" t="str">
        <f aca="false">IF(44&gt;Einstellungen!$C$7,"",COUNTIF(AT$6:AT$10,$A17))</f>
        <v/>
      </c>
      <c r="AU17" s="21" t="str">
        <f aca="false">IF(45&gt;Einstellungen!$C$7,"",COUNTIF(AU$6:AU$10,$A17))</f>
        <v/>
      </c>
      <c r="AV17" s="21" t="str">
        <f aca="false">IF(46&gt;Einstellungen!$C$7,"",COUNTIF(AV$6:AV$10,$A17))</f>
        <v/>
      </c>
      <c r="AW17" s="21" t="str">
        <f aca="false">IF(47&gt;Einstellungen!$C$7,"",COUNTIF(AW$6:AW$10,$A17))</f>
        <v/>
      </c>
      <c r="AX17" s="21" t="str">
        <f aca="false">IF(48&gt;Einstellungen!$C$7,"",COUNTIF(AX$6:AX$10,$A17))</f>
        <v/>
      </c>
      <c r="AY17" s="21" t="str">
        <f aca="false">IF(49&gt;Einstellungen!$C$7,"",COUNTIF(AY$6:AY$10,$A17))</f>
        <v/>
      </c>
      <c r="AZ17" s="21" t="str">
        <f aca="false">IF(50&gt;Einstellungen!$C$7,"",COUNTIF(AZ$6:AZ$10,$A17))</f>
        <v/>
      </c>
      <c r="BA17" s="21" t="str">
        <f aca="false">IF(51&gt;Einstellungen!$C$7,"",COUNTIF(BA$6:BA$10,$A17))</f>
        <v/>
      </c>
      <c r="BB17" s="21" t="str">
        <f aca="false">IF(52&gt;Einstellungen!$C$7,"",COUNTIF(BB$6:BB$10,$A17))</f>
        <v/>
      </c>
      <c r="BC17" s="21" t="str">
        <f aca="false">IF(53&gt;Einstellungen!$C$7,"",COUNTIF(BC$6:BC$10,$A17))</f>
        <v/>
      </c>
      <c r="BD17" s="21" t="str">
        <f aca="false">IF(54&gt;Einstellungen!$C$7,"",COUNTIF(BD$6:BD$10,$A17))</f>
        <v/>
      </c>
      <c r="BE17" s="21" t="str">
        <f aca="false">IF(55&gt;Einstellungen!$C$7,"",COUNTIF(BE$6:BE$10,$A17))</f>
        <v/>
      </c>
      <c r="BF17" s="21" t="str">
        <f aca="false">IF(56&gt;Einstellungen!$C$7,"",COUNTIF(BF$6:BF$10,$A17))</f>
        <v/>
      </c>
    </row>
    <row r="19" customFormat="false" ht="15" hidden="false" customHeight="false" outlineLevel="0" collapsed="false">
      <c r="A19" s="12" t="s">
        <v>76</v>
      </c>
    </row>
    <row r="20" customFormat="false" ht="15" hidden="false" customHeight="false" outlineLevel="0" collapsed="false">
      <c r="A20" s="6" t="s">
        <v>70</v>
      </c>
      <c r="B20" s="22" t="n">
        <f aca="false">IF(COUNTA($C$6:BF$6)=0,"",SUMPRODUCT(SUMIF(Schichten!$A$5:$A$24,$C$6:BF$6,Schichten!$F$5:$F$24)*(COLUMN($C$6:BF$6)-2&lt;=Einstellungen!$C$7))/Einstellungen!$C$7*7)</f>
        <v>42</v>
      </c>
    </row>
    <row r="21" customFormat="false" ht="15" hidden="false" customHeight="false" outlineLevel="0" collapsed="false">
      <c r="A21" s="6" t="s">
        <v>71</v>
      </c>
      <c r="B21" s="22" t="n">
        <f aca="false">IF(COUNTA($C$7:BF$7)=0,"",SUMPRODUCT(SUMIF(Schichten!$A$5:$A$24,$C$7:BF$7,Schichten!$F$5:$F$24)*(COLUMN($C$7:BF$7)-2&lt;=Einstellungen!$C$7))/Einstellungen!$C$7*7)</f>
        <v>42</v>
      </c>
    </row>
    <row r="22" customFormat="false" ht="15" hidden="false" customHeight="false" outlineLevel="0" collapsed="false">
      <c r="A22" s="6" t="s">
        <v>72</v>
      </c>
      <c r="B22" s="22" t="n">
        <f aca="false">IF(COUNTA($C$8:BF$8)=0,"",SUMPRODUCT(SUMIF(Schichten!$A$5:$A$24,$C$8:BF$8,Schichten!$F$5:$F$24)*(COLUMN($C$8:BF$8)-2&lt;=Einstellungen!$C$7))/Einstellungen!$C$7*7)</f>
        <v>42</v>
      </c>
    </row>
    <row r="23" customFormat="false" ht="15" hidden="false" customHeight="false" outlineLevel="0" collapsed="false">
      <c r="A23" s="6" t="s">
        <v>73</v>
      </c>
      <c r="B23" s="22" t="n">
        <f aca="false">IF(COUNTA($C$9:BF$9)=0,"",SUMPRODUCT(SUMIF(Schichten!$A$5:$A$24,$C$9:BF$9,Schichten!$F$5:$F$24)*(COLUMN($C$9:BF$9)-2&lt;=Einstellungen!$C$7))/Einstellungen!$C$7*7)</f>
        <v>42</v>
      </c>
    </row>
    <row r="24" customFormat="false" ht="15" hidden="false" customHeight="false" outlineLevel="0" collapsed="false">
      <c r="A24" s="6" t="s">
        <v>74</v>
      </c>
      <c r="B24" s="22" t="str">
        <f aca="false">IF(COUNTA($C$10:BF$10)=0,"",SUMPRODUCT(SUMIF(Schichten!$A$5:$A$24,$C$10:BF$10,Schichten!$F$5:$F$24)*(COLUMN($C$10:BF$10)-2&lt;=Einstellungen!$C$7))/Einstellungen!$C$7*7)</f>
        <v/>
      </c>
    </row>
  </sheetData>
  <conditionalFormatting sqref="C6:BF10">
    <cfRule type="cellIs" priority="2" operator="equal" aboveAverage="0" equalAverage="0" bottom="0" percent="0" rank="0" text="" dxfId="0">
      <formula>"F"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"N"</formula>
    </cfRule>
    <cfRule type="cellIs" priority="5" operator="equal" aboveAverage="0" equalAverage="0" bottom="0" percent="0" rank="0" text="" dxfId="3">
      <formula>"T12"</formula>
    </cfRule>
    <cfRule type="cellIs" priority="6" operator="equal" aboveAverage="0" equalAverage="0" bottom="0" percent="0" rank="0" text="" dxfId="4">
      <formula>"N12"</formula>
    </cfRule>
    <cfRule type="cellIs" priority="7" operator="equal" aboveAverage="0" equalAverage="0" bottom="0" percent="0" rank="0" text="" dxfId="5">
      <formula>"-"</formula>
    </cfRule>
    <cfRule type="cellIs" priority="8" operator="equal" aboveAverage="0" equalAverage="0" bottom="0" percent="0" rank="0" text="" dxfId="6">
      <formula>"U"</formula>
    </cfRule>
    <cfRule type="expression" priority="9" aboveAverage="0" equalAverage="0" bottom="0" percent="0" rank="0" text="" dxfId="7">
      <formula>COLUMN(C6)-2&gt;Einstellungen!$C$7</formula>
    </cfRule>
  </conditionalFormatting>
  <dataValidations count="1">
    <dataValidation allowBlank="true" error="Bitte einen Code aus dem Blatt Schichten wählen." errorStyle="stop" errorTitle="Unbekannter Code" operator="between" showDropDown="false" showErrorMessage="true" showInputMessage="false" sqref="C6:BF10" type="list">
      <formula1>Schichten!$A$5:$A$24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A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"/>
    <col collapsed="false" customWidth="true" hidden="false" outlineLevel="0" max="4" min="3" style="0" width="6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9" min="7" style="0" width="11"/>
    <col collapsed="false" customWidth="true" hidden="false" outlineLevel="0" max="10" min="10" style="0" width="7"/>
    <col collapsed="false" customWidth="true" hidden="false" outlineLevel="0" max="14" min="11" style="0" width="6"/>
    <col collapsed="false" customWidth="true" hidden="false" outlineLevel="0" max="15" min="15" style="0" width="5"/>
    <col collapsed="false" customWidth="true" hidden="false" outlineLevel="0" max="16" min="16" style="0" width="6"/>
    <col collapsed="false" customWidth="true" hidden="false" outlineLevel="0" max="19" min="17" style="0" width="11"/>
    <col collapsed="false" customWidth="true" hidden="false" outlineLevel="0" max="20" min="20" style="0" width="7"/>
    <col collapsed="false" customWidth="true" hidden="false" outlineLevel="0" max="24" min="21" style="0" width="6"/>
    <col collapsed="false" customWidth="true" hidden="false" outlineLevel="0" max="25" min="25" style="0" width="5"/>
    <col collapsed="false" customWidth="true" hidden="false" outlineLevel="0" max="26" min="26" style="0" width="6"/>
    <col collapsed="false" customWidth="true" hidden="false" outlineLevel="0" max="29" min="27" style="0" width="11"/>
    <col collapsed="false" customWidth="true" hidden="false" outlineLevel="0" max="30" min="30" style="0" width="7"/>
    <col collapsed="false" customWidth="true" hidden="false" outlineLevel="0" max="34" min="31" style="0" width="6"/>
    <col collapsed="false" customWidth="true" hidden="false" outlineLevel="0" max="35" min="35" style="0" width="5"/>
    <col collapsed="false" customWidth="true" hidden="false" outlineLevel="0" max="36" min="36" style="0" width="6"/>
    <col collapsed="false" customWidth="true" hidden="false" outlineLevel="0" max="39" min="37" style="0" width="11"/>
    <col collapsed="false" customWidth="true" hidden="false" outlineLevel="0" max="40" min="40" style="0" width="7"/>
    <col collapsed="false" customWidth="true" hidden="false" outlineLevel="0" max="44" min="41" style="0" width="6"/>
    <col collapsed="false" customWidth="true" hidden="false" outlineLevel="0" max="45" min="45" style="0" width="5"/>
    <col collapsed="false" customWidth="true" hidden="false" outlineLevel="0" max="46" min="46" style="0" width="6"/>
    <col collapsed="false" customWidth="true" hidden="false" outlineLevel="0" max="49" min="47" style="0" width="11"/>
    <col collapsed="false" customWidth="true" hidden="false" outlineLevel="0" max="50" min="50" style="0" width="7"/>
    <col collapsed="false" customWidth="true" hidden="false" outlineLevel="0" max="53" min="51" style="0" width="6"/>
  </cols>
  <sheetData>
    <row r="1" customFormat="false" ht="17.35" hidden="false" customHeight="false" outlineLevel="0" collapsed="false">
      <c r="A1" s="7" t="s">
        <v>77</v>
      </c>
    </row>
    <row r="3" customFormat="false" ht="15" hidden="false" customHeight="false" outlineLevel="0" collapsed="false">
      <c r="D3" s="23" t="s">
        <v>70</v>
      </c>
      <c r="E3" s="23"/>
      <c r="F3" s="23"/>
      <c r="G3" s="23"/>
      <c r="H3" s="23"/>
      <c r="I3" s="23"/>
      <c r="J3" s="23"/>
      <c r="K3" s="23"/>
      <c r="L3" s="23"/>
      <c r="M3" s="23"/>
      <c r="N3" s="23" t="s">
        <v>71</v>
      </c>
      <c r="O3" s="23"/>
      <c r="P3" s="23"/>
      <c r="Q3" s="23"/>
      <c r="R3" s="23"/>
      <c r="S3" s="23"/>
      <c r="T3" s="23"/>
      <c r="U3" s="23"/>
      <c r="V3" s="23"/>
      <c r="W3" s="23"/>
      <c r="X3" s="23" t="s">
        <v>72</v>
      </c>
      <c r="Y3" s="23"/>
      <c r="Z3" s="23"/>
      <c r="AA3" s="23"/>
      <c r="AB3" s="23"/>
      <c r="AC3" s="23"/>
      <c r="AD3" s="23"/>
      <c r="AE3" s="23"/>
      <c r="AF3" s="23"/>
      <c r="AG3" s="23"/>
      <c r="AH3" s="23" t="s">
        <v>73</v>
      </c>
      <c r="AI3" s="23"/>
      <c r="AJ3" s="23"/>
      <c r="AK3" s="23"/>
      <c r="AL3" s="23"/>
      <c r="AM3" s="23"/>
      <c r="AN3" s="23"/>
      <c r="AO3" s="23"/>
      <c r="AP3" s="23"/>
      <c r="AQ3" s="23"/>
      <c r="AR3" s="23" t="s">
        <v>74</v>
      </c>
      <c r="AS3" s="23"/>
      <c r="AT3" s="23"/>
      <c r="AU3" s="23"/>
      <c r="AV3" s="23"/>
      <c r="AW3" s="23"/>
      <c r="AX3" s="23"/>
      <c r="AY3" s="23"/>
      <c r="AZ3" s="23"/>
      <c r="BA3" s="23"/>
    </row>
    <row r="4" customFormat="false" ht="30" hidden="false" customHeight="true" outlineLevel="0" collapsed="false">
      <c r="A4" s="19" t="s">
        <v>78</v>
      </c>
      <c r="B4" s="19" t="s">
        <v>68</v>
      </c>
      <c r="C4" s="19" t="s">
        <v>79</v>
      </c>
      <c r="D4" s="24" t="s">
        <v>44</v>
      </c>
      <c r="E4" s="24" t="s">
        <v>80</v>
      </c>
      <c r="F4" s="24" t="s">
        <v>81</v>
      </c>
      <c r="G4" s="24" t="s">
        <v>46</v>
      </c>
      <c r="H4" s="24" t="s">
        <v>47</v>
      </c>
      <c r="I4" s="24" t="s">
        <v>82</v>
      </c>
      <c r="J4" s="24" t="s">
        <v>83</v>
      </c>
      <c r="K4" s="24" t="s">
        <v>84</v>
      </c>
      <c r="L4" s="24" t="s">
        <v>85</v>
      </c>
      <c r="M4" s="24" t="s">
        <v>86</v>
      </c>
      <c r="N4" s="24" t="s">
        <v>44</v>
      </c>
      <c r="O4" s="24" t="s">
        <v>80</v>
      </c>
      <c r="P4" s="24" t="s">
        <v>81</v>
      </c>
      <c r="Q4" s="24" t="s">
        <v>46</v>
      </c>
      <c r="R4" s="24" t="s">
        <v>47</v>
      </c>
      <c r="S4" s="24" t="s">
        <v>82</v>
      </c>
      <c r="T4" s="24" t="s">
        <v>83</v>
      </c>
      <c r="U4" s="24" t="s">
        <v>84</v>
      </c>
      <c r="V4" s="24" t="s">
        <v>85</v>
      </c>
      <c r="W4" s="24" t="s">
        <v>86</v>
      </c>
      <c r="X4" s="24" t="s">
        <v>44</v>
      </c>
      <c r="Y4" s="24" t="s">
        <v>80</v>
      </c>
      <c r="Z4" s="24" t="s">
        <v>81</v>
      </c>
      <c r="AA4" s="24" t="s">
        <v>46</v>
      </c>
      <c r="AB4" s="24" t="s">
        <v>47</v>
      </c>
      <c r="AC4" s="24" t="s">
        <v>82</v>
      </c>
      <c r="AD4" s="24" t="s">
        <v>83</v>
      </c>
      <c r="AE4" s="24" t="s">
        <v>84</v>
      </c>
      <c r="AF4" s="24" t="s">
        <v>85</v>
      </c>
      <c r="AG4" s="24" t="s">
        <v>86</v>
      </c>
      <c r="AH4" s="24" t="s">
        <v>44</v>
      </c>
      <c r="AI4" s="24" t="s">
        <v>80</v>
      </c>
      <c r="AJ4" s="24" t="s">
        <v>81</v>
      </c>
      <c r="AK4" s="24" t="s">
        <v>46</v>
      </c>
      <c r="AL4" s="24" t="s">
        <v>47</v>
      </c>
      <c r="AM4" s="24" t="s">
        <v>82</v>
      </c>
      <c r="AN4" s="24" t="s">
        <v>83</v>
      </c>
      <c r="AO4" s="24" t="s">
        <v>84</v>
      </c>
      <c r="AP4" s="24" t="s">
        <v>85</v>
      </c>
      <c r="AQ4" s="24" t="s">
        <v>86</v>
      </c>
      <c r="AR4" s="24" t="s">
        <v>44</v>
      </c>
      <c r="AS4" s="24" t="s">
        <v>80</v>
      </c>
      <c r="AT4" s="24" t="s">
        <v>81</v>
      </c>
      <c r="AU4" s="24" t="s">
        <v>46</v>
      </c>
      <c r="AV4" s="24" t="s">
        <v>47</v>
      </c>
      <c r="AW4" s="24" t="s">
        <v>82</v>
      </c>
      <c r="AX4" s="24" t="s">
        <v>83</v>
      </c>
      <c r="AY4" s="24" t="s">
        <v>84</v>
      </c>
      <c r="AZ4" s="24" t="s">
        <v>85</v>
      </c>
      <c r="BA4" s="24" t="s">
        <v>86</v>
      </c>
    </row>
    <row r="5" customFormat="false" ht="15" hidden="false" customHeight="false" outlineLevel="0" collapsed="false">
      <c r="A5" s="25" t="n">
        <f aca="false">IF(YEAR(DATE(Einstellungen!$C$4,1,1)+0)=Einstellungen!$C$4,DATE(Einstellungen!$C$4,1,1)+0,"")</f>
        <v>46388</v>
      </c>
      <c r="B5" s="26" t="str">
        <f aca="false">IF($A5="","",CHOOSE(WEEKDAY($A5,2),"Mo","Di","Mi","Do","Fr","Sa","So"))</f>
        <v>Fr</v>
      </c>
      <c r="C5" s="26" t="n">
        <f aca="false">IF($A5="","",MONTH($A5))</f>
        <v>1</v>
      </c>
      <c r="D5" s="26" t="str">
        <f aca="false">IF($A5="","",IF(INDEX(Muster!$C$6:$BF$6,1,MOD($A5-Einstellungen!$C$6,Einstellungen!$C$7)+1)="","-",INDEX(Muster!$C$6:$BF$6,1,MOD($A5-Einstellungen!$C$6,Einstellungen!$C$7)+1)))</f>
        <v>N</v>
      </c>
      <c r="E5" s="27" t="n">
        <f aca="false">IF($A5="","",IFERROR(VLOOKUP(D5,Schichten!$A$5:$G$24,6,FALSE()),0))</f>
        <v>8</v>
      </c>
      <c r="F5" s="27" t="n">
        <f aca="false">IF($A5="","",IFERROR(VLOOKUP(D5,Schichten!$A$5:$G$24,7,FALSE()),0))</f>
        <v>7</v>
      </c>
      <c r="G5" s="28" t="n">
        <f aca="false">IF($A5="","",IF(N(E5)=0,"",$A5+VLOOKUP(D5,Schichten!$A$5:$G$24,3,FALSE())))</f>
        <v>46388.9166666667</v>
      </c>
      <c r="H5" s="28" t="n">
        <f aca="false">IF(G5="","",$A5+VLOOKUP(D5,Schichten!$A$5:$G$24,4,FALSE())+IF(VLOOKUP(D5,Schichten!$A$5:$G$24,4,FALSE())&lt;=VLOOKUP(D5,Schichten!$A$5:$G$24,3,FALSE()),1,0))</f>
        <v>46389.25</v>
      </c>
      <c r="I5" s="28" t="str">
        <f aca="false">""</f>
        <v/>
      </c>
      <c r="J5" s="27" t="str">
        <f aca="false">IF(OR(G5="",I5=""),"",(G5-I5)*24)</f>
        <v/>
      </c>
      <c r="K5" s="21" t="n">
        <f aca="false">IF($A5="","",IF(N(E5)&gt;0,1,0))</f>
        <v>1</v>
      </c>
      <c r="L5" s="21" t="n">
        <f aca="false">IF($A5="","",IF(N(F5)&gt;0,1,0))</f>
        <v>1</v>
      </c>
      <c r="M5" s="21" t="str">
        <f aca="false">IF($A5="","",IF(WEEKDAY($A5,2)&lt;&gt;7,"",IF(AND(OR(G5="",N(G5)&gt;=$A5+16/24,N(H5)&lt;=$A5+6/24),OR(I5="",N(I5)&lt;=$A5+6/24)),1,0)))</f>
        <v/>
      </c>
      <c r="N5" s="26" t="str">
        <f aca="false">IF($A5="","",IF(INDEX(Muster!$C$7:$BF$7,1,MOD($A5-Einstellungen!$C$6,Einstellungen!$C$7)+1)="","-",INDEX(Muster!$C$7:$BF$7,1,MOD($A5-Einstellungen!$C$6,Einstellungen!$C$7)+1)))</f>
        <v>S</v>
      </c>
      <c r="O5" s="27" t="n">
        <f aca="false">IF($A5="","",IFERROR(VLOOKUP(N5,Schichten!$A$5:$G$24,6,FALSE()),0))</f>
        <v>8</v>
      </c>
      <c r="P5" s="27" t="n">
        <f aca="false">IF($A5="","",IFERROR(VLOOKUP(N5,Schichten!$A$5:$G$24,7,FALSE()),0))</f>
        <v>0</v>
      </c>
      <c r="Q5" s="28" t="n">
        <f aca="false">IF($A5="","",IF(N(O5)=0,"",$A5+VLOOKUP(N5,Schichten!$A$5:$G$24,3,FALSE())))</f>
        <v>46388.5833333333</v>
      </c>
      <c r="R5" s="28" t="n">
        <f aca="false">IF(Q5="","",$A5+VLOOKUP(N5,Schichten!$A$5:$G$24,4,FALSE())+IF(VLOOKUP(N5,Schichten!$A$5:$G$24,4,FALSE())&lt;=VLOOKUP(N5,Schichten!$A$5:$G$24,3,FALSE()),1,0))</f>
        <v>46388.9166666667</v>
      </c>
      <c r="S5" s="28" t="str">
        <f aca="false">""</f>
        <v/>
      </c>
      <c r="T5" s="27" t="str">
        <f aca="false">IF(OR(Q5="",S5=""),"",(Q5-S5)*24)</f>
        <v/>
      </c>
      <c r="U5" s="21" t="n">
        <f aca="false">IF($A5="","",IF(N(O5)&gt;0,1,0))</f>
        <v>1</v>
      </c>
      <c r="V5" s="21" t="n">
        <f aca="false">IF($A5="","",IF(N(P5)&gt;0,1,0))</f>
        <v>0</v>
      </c>
      <c r="W5" s="21" t="str">
        <f aca="false">IF($A5="","",IF(WEEKDAY($A5,2)&lt;&gt;7,"",IF(AND(OR(Q5="",N(Q5)&gt;=$A5+16/24,N(R5)&lt;=$A5+6/24),OR(S5="",N(S5)&lt;=$A5+6/24)),1,0)))</f>
        <v/>
      </c>
      <c r="X5" s="26" t="str">
        <f aca="false">IF($A5="","",IF(INDEX(Muster!$C$8:$BF$8,1,MOD($A5-Einstellungen!$C$6,Einstellungen!$C$7)+1)="","-",INDEX(Muster!$C$8:$BF$8,1,MOD($A5-Einstellungen!$C$6,Einstellungen!$C$7)+1)))</f>
        <v>F</v>
      </c>
      <c r="Y5" s="27" t="n">
        <f aca="false">IF($A5="","",IFERROR(VLOOKUP(X5,Schichten!$A$5:$G$24,6,FALSE()),0))</f>
        <v>8</v>
      </c>
      <c r="Z5" s="27" t="n">
        <f aca="false">IF($A5="","",IFERROR(VLOOKUP(X5,Schichten!$A$5:$G$24,7,FALSE()),0))</f>
        <v>0</v>
      </c>
      <c r="AA5" s="28" t="n">
        <f aca="false">IF($A5="","",IF(N(Y5)=0,"",$A5+VLOOKUP(X5,Schichten!$A$5:$G$24,3,FALSE())))</f>
        <v>46388.25</v>
      </c>
      <c r="AB5" s="28" t="n">
        <f aca="false">IF(AA5="","",$A5+VLOOKUP(X5,Schichten!$A$5:$G$24,4,FALSE())+IF(VLOOKUP(X5,Schichten!$A$5:$G$24,4,FALSE())&lt;=VLOOKUP(X5,Schichten!$A$5:$G$24,3,FALSE()),1,0))</f>
        <v>46388.5833333333</v>
      </c>
      <c r="AC5" s="28" t="str">
        <f aca="false">""</f>
        <v/>
      </c>
      <c r="AD5" s="27" t="str">
        <f aca="false">IF(OR(AA5="",AC5=""),"",(AA5-AC5)*24)</f>
        <v/>
      </c>
      <c r="AE5" s="21" t="n">
        <f aca="false">IF($A5="","",IF(N(Y5)&gt;0,1,0))</f>
        <v>1</v>
      </c>
      <c r="AF5" s="21" t="n">
        <f aca="false">IF($A5="","",IF(N(Z5)&gt;0,1,0))</f>
        <v>0</v>
      </c>
      <c r="AG5" s="21" t="str">
        <f aca="false">IF($A5="","",IF(WEEKDAY($A5,2)&lt;&gt;7,"",IF(AND(OR(AA5="",N(AA5)&gt;=$A5+16/24,N(AB5)&lt;=$A5+6/24),OR(AC5="",N(AC5)&lt;=$A5+6/24)),1,0)))</f>
        <v/>
      </c>
      <c r="AH5" s="26" t="str">
        <f aca="false">IF($A5="","",IF(INDEX(Muster!$C$9:$BF$9,1,MOD($A5-Einstellungen!$C$6,Einstellungen!$C$7)+1)="","-",INDEX(Muster!$C$9:$BF$9,1,MOD($A5-Einstellungen!$C$6,Einstellungen!$C$7)+1)))</f>
        <v>-</v>
      </c>
      <c r="AI5" s="27" t="n">
        <f aca="false">IF($A5="","",IFERROR(VLOOKUP(AH5,Schichten!$A$5:$G$24,6,FALSE()),0))</f>
        <v>0</v>
      </c>
      <c r="AJ5" s="27" t="n">
        <f aca="false">IF($A5="","",IFERROR(VLOOKUP(AH5,Schichten!$A$5:$G$24,7,FALSE()),0))</f>
        <v>0</v>
      </c>
      <c r="AK5" s="28" t="str">
        <f aca="false">IF($A5="","",IF(N(AI5)=0,"",$A5+VLOOKUP(AH5,Schichten!$A$5:$G$24,3,FALSE())))</f>
        <v/>
      </c>
      <c r="AL5" s="28" t="str">
        <f aca="false">IF(AK5="","",$A5+VLOOKUP(AH5,Schichten!$A$5:$G$24,4,FALSE())+IF(VLOOKUP(AH5,Schichten!$A$5:$G$24,4,FALSE())&lt;=VLOOKUP(AH5,Schichten!$A$5:$G$24,3,FALSE()),1,0))</f>
        <v/>
      </c>
      <c r="AM5" s="28" t="str">
        <f aca="false">""</f>
        <v/>
      </c>
      <c r="AN5" s="27" t="str">
        <f aca="false">IF(OR(AK5="",AM5=""),"",(AK5-AM5)*24)</f>
        <v/>
      </c>
      <c r="AO5" s="21" t="n">
        <f aca="false">IF($A5="","",IF(N(AI5)&gt;0,1,0))</f>
        <v>0</v>
      </c>
      <c r="AP5" s="21" t="n">
        <f aca="false">IF($A5="","",IF(N(AJ5)&gt;0,1,0))</f>
        <v>0</v>
      </c>
      <c r="AQ5" s="21" t="str">
        <f aca="false">IF($A5="","",IF(WEEKDAY($A5,2)&lt;&gt;7,"",IF(AND(OR(AK5="",N(AK5)&gt;=$A5+16/24,N(AL5)&lt;=$A5+6/24),OR(AM5="",N(AM5)&lt;=$A5+6/24)),1,0)))</f>
        <v/>
      </c>
      <c r="AR5" s="26" t="str">
        <f aca="false">IF($A5="","",IF(INDEX(Muster!$C$10:$BF$10,1,MOD($A5-Einstellungen!$C$6,Einstellungen!$C$7)+1)="","-",INDEX(Muster!$C$10:$BF$10,1,MOD($A5-Einstellungen!$C$6,Einstellungen!$C$7)+1)))</f>
        <v>-</v>
      </c>
      <c r="AS5" s="27" t="n">
        <f aca="false">IF($A5="","",IFERROR(VLOOKUP(AR5,Schichten!$A$5:$G$24,6,FALSE()),0))</f>
        <v>0</v>
      </c>
      <c r="AT5" s="27" t="n">
        <f aca="false">IF($A5="","",IFERROR(VLOOKUP(AR5,Schichten!$A$5:$G$24,7,FALSE()),0))</f>
        <v>0</v>
      </c>
      <c r="AU5" s="28" t="str">
        <f aca="false">IF($A5="","",IF(N(AS5)=0,"",$A5+VLOOKUP(AR5,Schichten!$A$5:$G$24,3,FALSE())))</f>
        <v/>
      </c>
      <c r="AV5" s="28" t="str">
        <f aca="false">IF(AU5="","",$A5+VLOOKUP(AR5,Schichten!$A$5:$G$24,4,FALSE())+IF(VLOOKUP(AR5,Schichten!$A$5:$G$24,4,FALSE())&lt;=VLOOKUP(AR5,Schichten!$A$5:$G$24,3,FALSE()),1,0))</f>
        <v/>
      </c>
      <c r="AW5" s="28" t="str">
        <f aca="false">""</f>
        <v/>
      </c>
      <c r="AX5" s="27" t="str">
        <f aca="false">IF(OR(AU5="",AW5=""),"",(AU5-AW5)*24)</f>
        <v/>
      </c>
      <c r="AY5" s="21" t="n">
        <f aca="false">IF($A5="","",IF(N(AS5)&gt;0,1,0))</f>
        <v>0</v>
      </c>
      <c r="AZ5" s="21" t="n">
        <f aca="false">IF($A5="","",IF(N(AT5)&gt;0,1,0))</f>
        <v>0</v>
      </c>
      <c r="BA5" s="21" t="str">
        <f aca="false">IF($A5="","",IF(WEEKDAY($A5,2)&lt;&gt;7,"",IF(AND(OR(AU5="",N(AU5)&gt;=$A5+16/24,N(AV5)&lt;=$A5+6/24),OR(AW5="",N(AW5)&lt;=$A5+6/24)),1,0)))</f>
        <v/>
      </c>
    </row>
    <row r="6" customFormat="false" ht="15" hidden="false" customHeight="false" outlineLevel="0" collapsed="false">
      <c r="A6" s="25" t="n">
        <f aca="false">IF(YEAR(DATE(Einstellungen!$C$4,1,1)+1)=Einstellungen!$C$4,DATE(Einstellungen!$C$4,1,1)+1,"")</f>
        <v>46389</v>
      </c>
      <c r="B6" s="26" t="str">
        <f aca="false">IF($A6="","",CHOOSE(WEEKDAY($A6,2),"Mo","Di","Mi","Do","Fr","Sa","So"))</f>
        <v>Sa</v>
      </c>
      <c r="C6" s="26" t="n">
        <f aca="false">IF($A6="","",MONTH($A6))</f>
        <v>1</v>
      </c>
      <c r="D6" s="26" t="str">
        <f aca="false">IF($A6="","",IF(INDEX(Muster!$C$6:$BF$6,1,MOD($A6-Einstellungen!$C$6,Einstellungen!$C$7)+1)="","-",INDEX(Muster!$C$6:$BF$6,1,MOD($A6-Einstellungen!$C$6,Einstellungen!$C$7)+1)))</f>
        <v>-</v>
      </c>
      <c r="E6" s="27" t="n">
        <f aca="false">IF($A6="","",IFERROR(VLOOKUP(D6,Schichten!$A$5:$G$24,6,FALSE()),0))</f>
        <v>0</v>
      </c>
      <c r="F6" s="27" t="n">
        <f aca="false">IF($A6="","",IFERROR(VLOOKUP(D6,Schichten!$A$5:$G$24,7,FALSE()),0))</f>
        <v>0</v>
      </c>
      <c r="G6" s="28" t="str">
        <f aca="false">IF($A6="","",IF(N(E6)=0,"",$A6+VLOOKUP(D6,Schichten!$A$5:$G$24,3,FALSE())))</f>
        <v/>
      </c>
      <c r="H6" s="28" t="str">
        <f aca="false">IF(G6="","",$A6+VLOOKUP(D6,Schichten!$A$5:$G$24,4,FALSE())+IF(VLOOKUP(D6,Schichten!$A$5:$G$24,4,FALSE())&lt;=VLOOKUP(D6,Schichten!$A$5:$G$24,3,FALSE()),1,0))</f>
        <v/>
      </c>
      <c r="I6" s="28" t="n">
        <f aca="false">IF($A6="","",IF(N(E5)&gt;0,H5,I5))</f>
        <v>46389.25</v>
      </c>
      <c r="J6" s="27" t="str">
        <f aca="false">IF(OR(G6="",I6=""),"",(G6-I6)*24)</f>
        <v/>
      </c>
      <c r="K6" s="21" t="n">
        <f aca="false">IF($A6="","",IF(N(E6)&gt;0,N(K5)+1,0))</f>
        <v>0</v>
      </c>
      <c r="L6" s="21" t="n">
        <f aca="false">IF($A6="","",IF(N(F6)&gt;0,N(L5)+1,0))</f>
        <v>0</v>
      </c>
      <c r="M6" s="21" t="str">
        <f aca="false">IF($A6="","",IF(WEEKDAY($A6,2)&lt;&gt;7,"",IF(AND(OR(G6="",N(G6)&gt;=$A6+16/24,N(H6)&lt;=$A6+6/24),OR(I6="",N(I6)&lt;=$A6+6/24)),1,0)))</f>
        <v/>
      </c>
      <c r="N6" s="26" t="str">
        <f aca="false">IF($A6="","",IF(INDEX(Muster!$C$7:$BF$7,1,MOD($A6-Einstellungen!$C$6,Einstellungen!$C$7)+1)="","-",INDEX(Muster!$C$7:$BF$7,1,MOD($A6-Einstellungen!$C$6,Einstellungen!$C$7)+1)))</f>
        <v>N</v>
      </c>
      <c r="O6" s="27" t="n">
        <f aca="false">IF($A6="","",IFERROR(VLOOKUP(N6,Schichten!$A$5:$G$24,6,FALSE()),0))</f>
        <v>8</v>
      </c>
      <c r="P6" s="27" t="n">
        <f aca="false">IF($A6="","",IFERROR(VLOOKUP(N6,Schichten!$A$5:$G$24,7,FALSE()),0))</f>
        <v>7</v>
      </c>
      <c r="Q6" s="28" t="n">
        <f aca="false">IF($A6="","",IF(N(O6)=0,"",$A6+VLOOKUP(N6,Schichten!$A$5:$G$24,3,FALSE())))</f>
        <v>46389.9166666667</v>
      </c>
      <c r="R6" s="28" t="n">
        <f aca="false">IF(Q6="","",$A6+VLOOKUP(N6,Schichten!$A$5:$G$24,4,FALSE())+IF(VLOOKUP(N6,Schichten!$A$5:$G$24,4,FALSE())&lt;=VLOOKUP(N6,Schichten!$A$5:$G$24,3,FALSE()),1,0))</f>
        <v>46390.25</v>
      </c>
      <c r="S6" s="28" t="n">
        <f aca="false">IF($A6="","",IF(N(O5)&gt;0,R5,S5))</f>
        <v>46388.9166666667</v>
      </c>
      <c r="T6" s="27" t="n">
        <f aca="false">IF(OR(Q6="",S6=""),"",(Q6-S6)*24)</f>
        <v>24</v>
      </c>
      <c r="U6" s="21" t="n">
        <f aca="false">IF($A6="","",IF(N(O6)&gt;0,N(U5)+1,0))</f>
        <v>2</v>
      </c>
      <c r="V6" s="21" t="n">
        <f aca="false">IF($A6="","",IF(N(P6)&gt;0,N(V5)+1,0))</f>
        <v>1</v>
      </c>
      <c r="W6" s="21" t="str">
        <f aca="false">IF($A6="","",IF(WEEKDAY($A6,2)&lt;&gt;7,"",IF(AND(OR(Q6="",N(Q6)&gt;=$A6+16/24,N(R6)&lt;=$A6+6/24),OR(S6="",N(S6)&lt;=$A6+6/24)),1,0)))</f>
        <v/>
      </c>
      <c r="X6" s="26" t="str">
        <f aca="false">IF($A6="","",IF(INDEX(Muster!$C$8:$BF$8,1,MOD($A6-Einstellungen!$C$6,Einstellungen!$C$7)+1)="","-",INDEX(Muster!$C$8:$BF$8,1,MOD($A6-Einstellungen!$C$6,Einstellungen!$C$7)+1)))</f>
        <v>S</v>
      </c>
      <c r="Y6" s="27" t="n">
        <f aca="false">IF($A6="","",IFERROR(VLOOKUP(X6,Schichten!$A$5:$G$24,6,FALSE()),0))</f>
        <v>8</v>
      </c>
      <c r="Z6" s="27" t="n">
        <f aca="false">IF($A6="","",IFERROR(VLOOKUP(X6,Schichten!$A$5:$G$24,7,FALSE()),0))</f>
        <v>0</v>
      </c>
      <c r="AA6" s="28" t="n">
        <f aca="false">IF($A6="","",IF(N(Y6)=0,"",$A6+VLOOKUP(X6,Schichten!$A$5:$G$24,3,FALSE())))</f>
        <v>46389.5833333333</v>
      </c>
      <c r="AB6" s="28" t="n">
        <f aca="false">IF(AA6="","",$A6+VLOOKUP(X6,Schichten!$A$5:$G$24,4,FALSE())+IF(VLOOKUP(X6,Schichten!$A$5:$G$24,4,FALSE())&lt;=VLOOKUP(X6,Schichten!$A$5:$G$24,3,FALSE()),1,0))</f>
        <v>46389.9166666667</v>
      </c>
      <c r="AC6" s="28" t="n">
        <f aca="false">IF($A6="","",IF(N(Y5)&gt;0,AB5,AC5))</f>
        <v>46388.5833333333</v>
      </c>
      <c r="AD6" s="27" t="n">
        <f aca="false">IF(OR(AA6="",AC6=""),"",(AA6-AC6)*24)</f>
        <v>24</v>
      </c>
      <c r="AE6" s="21" t="n">
        <f aca="false">IF($A6="","",IF(N(Y6)&gt;0,N(AE5)+1,0))</f>
        <v>2</v>
      </c>
      <c r="AF6" s="21" t="n">
        <f aca="false">IF($A6="","",IF(N(Z6)&gt;0,N(AF5)+1,0))</f>
        <v>0</v>
      </c>
      <c r="AG6" s="21" t="str">
        <f aca="false">IF($A6="","",IF(WEEKDAY($A6,2)&lt;&gt;7,"",IF(AND(OR(AA6="",N(AA6)&gt;=$A6+16/24,N(AB6)&lt;=$A6+6/24),OR(AC6="",N(AC6)&lt;=$A6+6/24)),1,0)))</f>
        <v/>
      </c>
      <c r="AH6" s="26" t="str">
        <f aca="false">IF($A6="","",IF(INDEX(Muster!$C$9:$BF$9,1,MOD($A6-Einstellungen!$C$6,Einstellungen!$C$7)+1)="","-",INDEX(Muster!$C$9:$BF$9,1,MOD($A6-Einstellungen!$C$6,Einstellungen!$C$7)+1)))</f>
        <v>F</v>
      </c>
      <c r="AI6" s="27" t="n">
        <f aca="false">IF($A6="","",IFERROR(VLOOKUP(AH6,Schichten!$A$5:$G$24,6,FALSE()),0))</f>
        <v>8</v>
      </c>
      <c r="AJ6" s="27" t="n">
        <f aca="false">IF($A6="","",IFERROR(VLOOKUP(AH6,Schichten!$A$5:$G$24,7,FALSE()),0))</f>
        <v>0</v>
      </c>
      <c r="AK6" s="28" t="n">
        <f aca="false">IF($A6="","",IF(N(AI6)=0,"",$A6+VLOOKUP(AH6,Schichten!$A$5:$G$24,3,FALSE())))</f>
        <v>46389.25</v>
      </c>
      <c r="AL6" s="28" t="n">
        <f aca="false">IF(AK6="","",$A6+VLOOKUP(AH6,Schichten!$A$5:$G$24,4,FALSE())+IF(VLOOKUP(AH6,Schichten!$A$5:$G$24,4,FALSE())&lt;=VLOOKUP(AH6,Schichten!$A$5:$G$24,3,FALSE()),1,0))</f>
        <v>46389.5833333333</v>
      </c>
      <c r="AM6" s="28" t="str">
        <f aca="false">IF($A6="","",IF(N(AI5)&gt;0,AL5,AM5))</f>
        <v/>
      </c>
      <c r="AN6" s="27" t="str">
        <f aca="false">IF(OR(AK6="",AM6=""),"",(AK6-AM6)*24)</f>
        <v/>
      </c>
      <c r="AO6" s="21" t="n">
        <f aca="false">IF($A6="","",IF(N(AI6)&gt;0,N(AO5)+1,0))</f>
        <v>1</v>
      </c>
      <c r="AP6" s="21" t="n">
        <f aca="false">IF($A6="","",IF(N(AJ6)&gt;0,N(AP5)+1,0))</f>
        <v>0</v>
      </c>
      <c r="AQ6" s="21" t="str">
        <f aca="false">IF($A6="","",IF(WEEKDAY($A6,2)&lt;&gt;7,"",IF(AND(OR(AK6="",N(AK6)&gt;=$A6+16/24,N(AL6)&lt;=$A6+6/24),OR(AM6="",N(AM6)&lt;=$A6+6/24)),1,0)))</f>
        <v/>
      </c>
      <c r="AR6" s="26" t="str">
        <f aca="false">IF($A6="","",IF(INDEX(Muster!$C$10:$BF$10,1,MOD($A6-Einstellungen!$C$6,Einstellungen!$C$7)+1)="","-",INDEX(Muster!$C$10:$BF$10,1,MOD($A6-Einstellungen!$C$6,Einstellungen!$C$7)+1)))</f>
        <v>-</v>
      </c>
      <c r="AS6" s="27" t="n">
        <f aca="false">IF($A6="","",IFERROR(VLOOKUP(AR6,Schichten!$A$5:$G$24,6,FALSE()),0))</f>
        <v>0</v>
      </c>
      <c r="AT6" s="27" t="n">
        <f aca="false">IF($A6="","",IFERROR(VLOOKUP(AR6,Schichten!$A$5:$G$24,7,FALSE()),0))</f>
        <v>0</v>
      </c>
      <c r="AU6" s="28" t="str">
        <f aca="false">IF($A6="","",IF(N(AS6)=0,"",$A6+VLOOKUP(AR6,Schichten!$A$5:$G$24,3,FALSE())))</f>
        <v/>
      </c>
      <c r="AV6" s="28" t="str">
        <f aca="false">IF(AU6="","",$A6+VLOOKUP(AR6,Schichten!$A$5:$G$24,4,FALSE())+IF(VLOOKUP(AR6,Schichten!$A$5:$G$24,4,FALSE())&lt;=VLOOKUP(AR6,Schichten!$A$5:$G$24,3,FALSE()),1,0))</f>
        <v/>
      </c>
      <c r="AW6" s="28" t="str">
        <f aca="false">IF($A6="","",IF(N(AS5)&gt;0,AV5,AW5))</f>
        <v/>
      </c>
      <c r="AX6" s="27" t="str">
        <f aca="false">IF(OR(AU6="",AW6=""),"",(AU6-AW6)*24)</f>
        <v/>
      </c>
      <c r="AY6" s="21" t="n">
        <f aca="false">IF($A6="","",IF(N(AS6)&gt;0,N(AY5)+1,0))</f>
        <v>0</v>
      </c>
      <c r="AZ6" s="21" t="n">
        <f aca="false">IF($A6="","",IF(N(AT6)&gt;0,N(AZ5)+1,0))</f>
        <v>0</v>
      </c>
      <c r="BA6" s="21" t="str">
        <f aca="false">IF($A6="","",IF(WEEKDAY($A6,2)&lt;&gt;7,"",IF(AND(OR(AU6="",N(AU6)&gt;=$A6+16/24,N(AV6)&lt;=$A6+6/24),OR(AW6="",N(AW6)&lt;=$A6+6/24)),1,0)))</f>
        <v/>
      </c>
    </row>
    <row r="7" customFormat="false" ht="15" hidden="false" customHeight="false" outlineLevel="0" collapsed="false">
      <c r="A7" s="25" t="n">
        <f aca="false">IF(YEAR(DATE(Einstellungen!$C$4,1,1)+2)=Einstellungen!$C$4,DATE(Einstellungen!$C$4,1,1)+2,"")</f>
        <v>46390</v>
      </c>
      <c r="B7" s="26" t="str">
        <f aca="false">IF($A7="","",CHOOSE(WEEKDAY($A7,2),"Mo","Di","Mi","Do","Fr","Sa","So"))</f>
        <v>So</v>
      </c>
      <c r="C7" s="26" t="n">
        <f aca="false">IF($A7="","",MONTH($A7))</f>
        <v>1</v>
      </c>
      <c r="D7" s="26" t="str">
        <f aca="false">IF($A7="","",IF(INDEX(Muster!$C$6:$BF$6,1,MOD($A7-Einstellungen!$C$6,Einstellungen!$C$7)+1)="","-",INDEX(Muster!$C$6:$BF$6,1,MOD($A7-Einstellungen!$C$6,Einstellungen!$C$7)+1)))</f>
        <v>-</v>
      </c>
      <c r="E7" s="27" t="n">
        <f aca="false">IF($A7="","",IFERROR(VLOOKUP(D7,Schichten!$A$5:$G$24,6,FALSE()),0))</f>
        <v>0</v>
      </c>
      <c r="F7" s="27" t="n">
        <f aca="false">IF($A7="","",IFERROR(VLOOKUP(D7,Schichten!$A$5:$G$24,7,FALSE()),0))</f>
        <v>0</v>
      </c>
      <c r="G7" s="28" t="str">
        <f aca="false">IF($A7="","",IF(N(E7)=0,"",$A7+VLOOKUP(D7,Schichten!$A$5:$G$24,3,FALSE())))</f>
        <v/>
      </c>
      <c r="H7" s="28" t="str">
        <f aca="false">IF(G7="","",$A7+VLOOKUP(D7,Schichten!$A$5:$G$24,4,FALSE())+IF(VLOOKUP(D7,Schichten!$A$5:$G$24,4,FALSE())&lt;=VLOOKUP(D7,Schichten!$A$5:$G$24,3,FALSE()),1,0))</f>
        <v/>
      </c>
      <c r="I7" s="28" t="n">
        <f aca="false">IF($A7="","",IF(N(E6)&gt;0,H6,I6))</f>
        <v>46389.25</v>
      </c>
      <c r="J7" s="27" t="str">
        <f aca="false">IF(OR(G7="",I7=""),"",(G7-I7)*24)</f>
        <v/>
      </c>
      <c r="K7" s="21" t="n">
        <f aca="false">IF($A7="","",IF(N(E7)&gt;0,N(K6)+1,0))</f>
        <v>0</v>
      </c>
      <c r="L7" s="21" t="n">
        <f aca="false">IF($A7="","",IF(N(F7)&gt;0,N(L6)+1,0))</f>
        <v>0</v>
      </c>
      <c r="M7" s="21" t="n">
        <f aca="false">IF($A7="","",IF(WEEKDAY($A7,2)&lt;&gt;7,"",IF(AND(OR(G7="",N(G7)&gt;=$A7+16/24,N(H7)&lt;=$A7+6/24),OR(I7="",N(I7)&lt;=$A7+6/24)),1,0)))</f>
        <v>1</v>
      </c>
      <c r="N7" s="26" t="str">
        <f aca="false">IF($A7="","",IF(INDEX(Muster!$C$7:$BF$7,1,MOD($A7-Einstellungen!$C$6,Einstellungen!$C$7)+1)="","-",INDEX(Muster!$C$7:$BF$7,1,MOD($A7-Einstellungen!$C$6,Einstellungen!$C$7)+1)))</f>
        <v>N</v>
      </c>
      <c r="O7" s="27" t="n">
        <f aca="false">IF($A7="","",IFERROR(VLOOKUP(N7,Schichten!$A$5:$G$24,6,FALSE()),0))</f>
        <v>8</v>
      </c>
      <c r="P7" s="27" t="n">
        <f aca="false">IF($A7="","",IFERROR(VLOOKUP(N7,Schichten!$A$5:$G$24,7,FALSE()),0))</f>
        <v>7</v>
      </c>
      <c r="Q7" s="28" t="n">
        <f aca="false">IF($A7="","",IF(N(O7)=0,"",$A7+VLOOKUP(N7,Schichten!$A$5:$G$24,3,FALSE())))</f>
        <v>46390.9166666667</v>
      </c>
      <c r="R7" s="28" t="n">
        <f aca="false">IF(Q7="","",$A7+VLOOKUP(N7,Schichten!$A$5:$G$24,4,FALSE())+IF(VLOOKUP(N7,Schichten!$A$5:$G$24,4,FALSE())&lt;=VLOOKUP(N7,Schichten!$A$5:$G$24,3,FALSE()),1,0))</f>
        <v>46391.25</v>
      </c>
      <c r="S7" s="28" t="n">
        <f aca="false">IF($A7="","",IF(N(O6)&gt;0,R6,S6))</f>
        <v>46390.25</v>
      </c>
      <c r="T7" s="27" t="n">
        <f aca="false">IF(OR(Q7="",S7=""),"",(Q7-S7)*24)</f>
        <v>16</v>
      </c>
      <c r="U7" s="21" t="n">
        <f aca="false">IF($A7="","",IF(N(O7)&gt;0,N(U6)+1,0))</f>
        <v>3</v>
      </c>
      <c r="V7" s="21" t="n">
        <f aca="false">IF($A7="","",IF(N(P7)&gt;0,N(V6)+1,0))</f>
        <v>2</v>
      </c>
      <c r="W7" s="21" t="n">
        <f aca="false">IF($A7="","",IF(WEEKDAY($A7,2)&lt;&gt;7,"",IF(AND(OR(Q7="",N(Q7)&gt;=$A7+16/24,N(R7)&lt;=$A7+6/24),OR(S7="",N(S7)&lt;=$A7+6/24)),1,0)))</f>
        <v>1</v>
      </c>
      <c r="X7" s="26" t="str">
        <f aca="false">IF($A7="","",IF(INDEX(Muster!$C$8:$BF$8,1,MOD($A7-Einstellungen!$C$6,Einstellungen!$C$7)+1)="","-",INDEX(Muster!$C$8:$BF$8,1,MOD($A7-Einstellungen!$C$6,Einstellungen!$C$7)+1)))</f>
        <v>S</v>
      </c>
      <c r="Y7" s="27" t="n">
        <f aca="false">IF($A7="","",IFERROR(VLOOKUP(X7,Schichten!$A$5:$G$24,6,FALSE()),0))</f>
        <v>8</v>
      </c>
      <c r="Z7" s="27" t="n">
        <f aca="false">IF($A7="","",IFERROR(VLOOKUP(X7,Schichten!$A$5:$G$24,7,FALSE()),0))</f>
        <v>0</v>
      </c>
      <c r="AA7" s="28" t="n">
        <f aca="false">IF($A7="","",IF(N(Y7)=0,"",$A7+VLOOKUP(X7,Schichten!$A$5:$G$24,3,FALSE())))</f>
        <v>46390.5833333333</v>
      </c>
      <c r="AB7" s="28" t="n">
        <f aca="false">IF(AA7="","",$A7+VLOOKUP(X7,Schichten!$A$5:$G$24,4,FALSE())+IF(VLOOKUP(X7,Schichten!$A$5:$G$24,4,FALSE())&lt;=VLOOKUP(X7,Schichten!$A$5:$G$24,3,FALSE()),1,0))</f>
        <v>46390.9166666667</v>
      </c>
      <c r="AC7" s="28" t="n">
        <f aca="false">IF($A7="","",IF(N(Y6)&gt;0,AB6,AC6))</f>
        <v>46389.9166666667</v>
      </c>
      <c r="AD7" s="27" t="n">
        <f aca="false">IF(OR(AA7="",AC7=""),"",(AA7-AC7)*24)</f>
        <v>16</v>
      </c>
      <c r="AE7" s="21" t="n">
        <f aca="false">IF($A7="","",IF(N(Y7)&gt;0,N(AE6)+1,0))</f>
        <v>3</v>
      </c>
      <c r="AF7" s="21" t="n">
        <f aca="false">IF($A7="","",IF(N(Z7)&gt;0,N(AF6)+1,0))</f>
        <v>0</v>
      </c>
      <c r="AG7" s="21" t="n">
        <f aca="false">IF($A7="","",IF(WEEKDAY($A7,2)&lt;&gt;7,"",IF(AND(OR(AA7="",N(AA7)&gt;=$A7+16/24,N(AB7)&lt;=$A7+6/24),OR(AC7="",N(AC7)&lt;=$A7+6/24)),1,0)))</f>
        <v>0</v>
      </c>
      <c r="AH7" s="26" t="str">
        <f aca="false">IF($A7="","",IF(INDEX(Muster!$C$9:$BF$9,1,MOD($A7-Einstellungen!$C$6,Einstellungen!$C$7)+1)="","-",INDEX(Muster!$C$9:$BF$9,1,MOD($A7-Einstellungen!$C$6,Einstellungen!$C$7)+1)))</f>
        <v>F</v>
      </c>
      <c r="AI7" s="27" t="n">
        <f aca="false">IF($A7="","",IFERROR(VLOOKUP(AH7,Schichten!$A$5:$G$24,6,FALSE()),0))</f>
        <v>8</v>
      </c>
      <c r="AJ7" s="27" t="n">
        <f aca="false">IF($A7="","",IFERROR(VLOOKUP(AH7,Schichten!$A$5:$G$24,7,FALSE()),0))</f>
        <v>0</v>
      </c>
      <c r="AK7" s="28" t="n">
        <f aca="false">IF($A7="","",IF(N(AI7)=0,"",$A7+VLOOKUP(AH7,Schichten!$A$5:$G$24,3,FALSE())))</f>
        <v>46390.25</v>
      </c>
      <c r="AL7" s="28" t="n">
        <f aca="false">IF(AK7="","",$A7+VLOOKUP(AH7,Schichten!$A$5:$G$24,4,FALSE())+IF(VLOOKUP(AH7,Schichten!$A$5:$G$24,4,FALSE())&lt;=VLOOKUP(AH7,Schichten!$A$5:$G$24,3,FALSE()),1,0))</f>
        <v>46390.5833333333</v>
      </c>
      <c r="AM7" s="28" t="n">
        <f aca="false">IF($A7="","",IF(N(AI6)&gt;0,AL6,AM6))</f>
        <v>46389.5833333333</v>
      </c>
      <c r="AN7" s="27" t="n">
        <f aca="false">IF(OR(AK7="",AM7=""),"",(AK7-AM7)*24)</f>
        <v>16</v>
      </c>
      <c r="AO7" s="21" t="n">
        <f aca="false">IF($A7="","",IF(N(AI7)&gt;0,N(AO6)+1,0))</f>
        <v>2</v>
      </c>
      <c r="AP7" s="21" t="n">
        <f aca="false">IF($A7="","",IF(N(AJ7)&gt;0,N(AP6)+1,0))</f>
        <v>0</v>
      </c>
      <c r="AQ7" s="21" t="n">
        <f aca="false">IF($A7="","",IF(WEEKDAY($A7,2)&lt;&gt;7,"",IF(AND(OR(AK7="",N(AK7)&gt;=$A7+16/24,N(AL7)&lt;=$A7+6/24),OR(AM7="",N(AM7)&lt;=$A7+6/24)),1,0)))</f>
        <v>0</v>
      </c>
      <c r="AR7" s="26" t="str">
        <f aca="false">IF($A7="","",IF(INDEX(Muster!$C$10:$BF$10,1,MOD($A7-Einstellungen!$C$6,Einstellungen!$C$7)+1)="","-",INDEX(Muster!$C$10:$BF$10,1,MOD($A7-Einstellungen!$C$6,Einstellungen!$C$7)+1)))</f>
        <v>-</v>
      </c>
      <c r="AS7" s="27" t="n">
        <f aca="false">IF($A7="","",IFERROR(VLOOKUP(AR7,Schichten!$A$5:$G$24,6,FALSE()),0))</f>
        <v>0</v>
      </c>
      <c r="AT7" s="27" t="n">
        <f aca="false">IF($A7="","",IFERROR(VLOOKUP(AR7,Schichten!$A$5:$G$24,7,FALSE()),0))</f>
        <v>0</v>
      </c>
      <c r="AU7" s="28" t="str">
        <f aca="false">IF($A7="","",IF(N(AS7)=0,"",$A7+VLOOKUP(AR7,Schichten!$A$5:$G$24,3,FALSE())))</f>
        <v/>
      </c>
      <c r="AV7" s="28" t="str">
        <f aca="false">IF(AU7="","",$A7+VLOOKUP(AR7,Schichten!$A$5:$G$24,4,FALSE())+IF(VLOOKUP(AR7,Schichten!$A$5:$G$24,4,FALSE())&lt;=VLOOKUP(AR7,Schichten!$A$5:$G$24,3,FALSE()),1,0))</f>
        <v/>
      </c>
      <c r="AW7" s="28" t="str">
        <f aca="false">IF($A7="","",IF(N(AS6)&gt;0,AV6,AW6))</f>
        <v/>
      </c>
      <c r="AX7" s="27" t="str">
        <f aca="false">IF(OR(AU7="",AW7=""),"",(AU7-AW7)*24)</f>
        <v/>
      </c>
      <c r="AY7" s="21" t="n">
        <f aca="false">IF($A7="","",IF(N(AS7)&gt;0,N(AY6)+1,0))</f>
        <v>0</v>
      </c>
      <c r="AZ7" s="21" t="n">
        <f aca="false">IF($A7="","",IF(N(AT7)&gt;0,N(AZ6)+1,0))</f>
        <v>0</v>
      </c>
      <c r="BA7" s="21" t="n">
        <f aca="false">IF($A7="","",IF(WEEKDAY($A7,2)&lt;&gt;7,"",IF(AND(OR(AU7="",N(AU7)&gt;=$A7+16/24,N(AV7)&lt;=$A7+6/24),OR(AW7="",N(AW7)&lt;=$A7+6/24)),1,0)))</f>
        <v>1</v>
      </c>
    </row>
    <row r="8" customFormat="false" ht="15" hidden="false" customHeight="false" outlineLevel="0" collapsed="false">
      <c r="A8" s="25" t="n">
        <f aca="false">IF(YEAR(DATE(Einstellungen!$C$4,1,1)+3)=Einstellungen!$C$4,DATE(Einstellungen!$C$4,1,1)+3,"")</f>
        <v>46391</v>
      </c>
      <c r="B8" s="26" t="str">
        <f aca="false">IF($A8="","",CHOOSE(WEEKDAY($A8,2),"Mo","Di","Mi","Do","Fr","Sa","So"))</f>
        <v>Mo</v>
      </c>
      <c r="C8" s="26" t="n">
        <f aca="false">IF($A8="","",MONTH($A8))</f>
        <v>1</v>
      </c>
      <c r="D8" s="26" t="str">
        <f aca="false">IF($A8="","",IF(INDEX(Muster!$C$6:$BF$6,1,MOD($A8-Einstellungen!$C$6,Einstellungen!$C$7)+1)="","-",INDEX(Muster!$C$6:$BF$6,1,MOD($A8-Einstellungen!$C$6,Einstellungen!$C$7)+1)))</f>
        <v>F</v>
      </c>
      <c r="E8" s="27" t="n">
        <f aca="false">IF($A8="","",IFERROR(VLOOKUP(D8,Schichten!$A$5:$G$24,6,FALSE()),0))</f>
        <v>8</v>
      </c>
      <c r="F8" s="27" t="n">
        <f aca="false">IF($A8="","",IFERROR(VLOOKUP(D8,Schichten!$A$5:$G$24,7,FALSE()),0))</f>
        <v>0</v>
      </c>
      <c r="G8" s="28" t="n">
        <f aca="false">IF($A8="","",IF(N(E8)=0,"",$A8+VLOOKUP(D8,Schichten!$A$5:$G$24,3,FALSE())))</f>
        <v>46391.25</v>
      </c>
      <c r="H8" s="28" t="n">
        <f aca="false">IF(G8="","",$A8+VLOOKUP(D8,Schichten!$A$5:$G$24,4,FALSE())+IF(VLOOKUP(D8,Schichten!$A$5:$G$24,4,FALSE())&lt;=VLOOKUP(D8,Schichten!$A$5:$G$24,3,FALSE()),1,0))</f>
        <v>46391.5833333333</v>
      </c>
      <c r="I8" s="28" t="n">
        <f aca="false">IF($A8="","",IF(N(E7)&gt;0,H7,I7))</f>
        <v>46389.25</v>
      </c>
      <c r="J8" s="27" t="n">
        <f aca="false">IF(OR(G8="",I8=""),"",(G8-I8)*24)</f>
        <v>48</v>
      </c>
      <c r="K8" s="21" t="n">
        <f aca="false">IF($A8="","",IF(N(E8)&gt;0,N(K7)+1,0))</f>
        <v>1</v>
      </c>
      <c r="L8" s="21" t="n">
        <f aca="false">IF($A8="","",IF(N(F8)&gt;0,N(L7)+1,0))</f>
        <v>0</v>
      </c>
      <c r="M8" s="21" t="str">
        <f aca="false">IF($A8="","",IF(WEEKDAY($A8,2)&lt;&gt;7,"",IF(AND(OR(G8="",N(G8)&gt;=$A8+16/24,N(H8)&lt;=$A8+6/24),OR(I8="",N(I8)&lt;=$A8+6/24)),1,0)))</f>
        <v/>
      </c>
      <c r="N8" s="26" t="str">
        <f aca="false">IF($A8="","",IF(INDEX(Muster!$C$7:$BF$7,1,MOD($A8-Einstellungen!$C$6,Einstellungen!$C$7)+1)="","-",INDEX(Muster!$C$7:$BF$7,1,MOD($A8-Einstellungen!$C$6,Einstellungen!$C$7)+1)))</f>
        <v>-</v>
      </c>
      <c r="O8" s="27" t="n">
        <f aca="false">IF($A8="","",IFERROR(VLOOKUP(N8,Schichten!$A$5:$G$24,6,FALSE()),0))</f>
        <v>0</v>
      </c>
      <c r="P8" s="27" t="n">
        <f aca="false">IF($A8="","",IFERROR(VLOOKUP(N8,Schichten!$A$5:$G$24,7,FALSE()),0))</f>
        <v>0</v>
      </c>
      <c r="Q8" s="28" t="str">
        <f aca="false">IF($A8="","",IF(N(O8)=0,"",$A8+VLOOKUP(N8,Schichten!$A$5:$G$24,3,FALSE())))</f>
        <v/>
      </c>
      <c r="R8" s="28" t="str">
        <f aca="false">IF(Q8="","",$A8+VLOOKUP(N8,Schichten!$A$5:$G$24,4,FALSE())+IF(VLOOKUP(N8,Schichten!$A$5:$G$24,4,FALSE())&lt;=VLOOKUP(N8,Schichten!$A$5:$G$24,3,FALSE()),1,0))</f>
        <v/>
      </c>
      <c r="S8" s="28" t="n">
        <f aca="false">IF($A8="","",IF(N(O7)&gt;0,R7,S7))</f>
        <v>46391.25</v>
      </c>
      <c r="T8" s="27" t="str">
        <f aca="false">IF(OR(Q8="",S8=""),"",(Q8-S8)*24)</f>
        <v/>
      </c>
      <c r="U8" s="21" t="n">
        <f aca="false">IF($A8="","",IF(N(O8)&gt;0,N(U7)+1,0))</f>
        <v>0</v>
      </c>
      <c r="V8" s="21" t="n">
        <f aca="false">IF($A8="","",IF(N(P8)&gt;0,N(V7)+1,0))</f>
        <v>0</v>
      </c>
      <c r="W8" s="21" t="str">
        <f aca="false">IF($A8="","",IF(WEEKDAY($A8,2)&lt;&gt;7,"",IF(AND(OR(Q8="",N(Q8)&gt;=$A8+16/24,N(R8)&lt;=$A8+6/24),OR(S8="",N(S8)&lt;=$A8+6/24)),1,0)))</f>
        <v/>
      </c>
      <c r="X8" s="26" t="str">
        <f aca="false">IF($A8="","",IF(INDEX(Muster!$C$8:$BF$8,1,MOD($A8-Einstellungen!$C$6,Einstellungen!$C$7)+1)="","-",INDEX(Muster!$C$8:$BF$8,1,MOD($A8-Einstellungen!$C$6,Einstellungen!$C$7)+1)))</f>
        <v>N</v>
      </c>
      <c r="Y8" s="27" t="n">
        <f aca="false">IF($A8="","",IFERROR(VLOOKUP(X8,Schichten!$A$5:$G$24,6,FALSE()),0))</f>
        <v>8</v>
      </c>
      <c r="Z8" s="27" t="n">
        <f aca="false">IF($A8="","",IFERROR(VLOOKUP(X8,Schichten!$A$5:$G$24,7,FALSE()),0))</f>
        <v>7</v>
      </c>
      <c r="AA8" s="28" t="n">
        <f aca="false">IF($A8="","",IF(N(Y8)=0,"",$A8+VLOOKUP(X8,Schichten!$A$5:$G$24,3,FALSE())))</f>
        <v>46391.9166666667</v>
      </c>
      <c r="AB8" s="28" t="n">
        <f aca="false">IF(AA8="","",$A8+VLOOKUP(X8,Schichten!$A$5:$G$24,4,FALSE())+IF(VLOOKUP(X8,Schichten!$A$5:$G$24,4,FALSE())&lt;=VLOOKUP(X8,Schichten!$A$5:$G$24,3,FALSE()),1,0))</f>
        <v>46392.25</v>
      </c>
      <c r="AC8" s="28" t="n">
        <f aca="false">IF($A8="","",IF(N(Y7)&gt;0,AB7,AC7))</f>
        <v>46390.9166666667</v>
      </c>
      <c r="AD8" s="27" t="n">
        <f aca="false">IF(OR(AA8="",AC8=""),"",(AA8-AC8)*24)</f>
        <v>24</v>
      </c>
      <c r="AE8" s="21" t="n">
        <f aca="false">IF($A8="","",IF(N(Y8)&gt;0,N(AE7)+1,0))</f>
        <v>4</v>
      </c>
      <c r="AF8" s="21" t="n">
        <f aca="false">IF($A8="","",IF(N(Z8)&gt;0,N(AF7)+1,0))</f>
        <v>1</v>
      </c>
      <c r="AG8" s="21" t="str">
        <f aca="false">IF($A8="","",IF(WEEKDAY($A8,2)&lt;&gt;7,"",IF(AND(OR(AA8="",N(AA8)&gt;=$A8+16/24,N(AB8)&lt;=$A8+6/24),OR(AC8="",N(AC8)&lt;=$A8+6/24)),1,0)))</f>
        <v/>
      </c>
      <c r="AH8" s="26" t="str">
        <f aca="false">IF($A8="","",IF(INDEX(Muster!$C$9:$BF$9,1,MOD($A8-Einstellungen!$C$6,Einstellungen!$C$7)+1)="","-",INDEX(Muster!$C$9:$BF$9,1,MOD($A8-Einstellungen!$C$6,Einstellungen!$C$7)+1)))</f>
        <v>S</v>
      </c>
      <c r="AI8" s="27" t="n">
        <f aca="false">IF($A8="","",IFERROR(VLOOKUP(AH8,Schichten!$A$5:$G$24,6,FALSE()),0))</f>
        <v>8</v>
      </c>
      <c r="AJ8" s="27" t="n">
        <f aca="false">IF($A8="","",IFERROR(VLOOKUP(AH8,Schichten!$A$5:$G$24,7,FALSE()),0))</f>
        <v>0</v>
      </c>
      <c r="AK8" s="28" t="n">
        <f aca="false">IF($A8="","",IF(N(AI8)=0,"",$A8+VLOOKUP(AH8,Schichten!$A$5:$G$24,3,FALSE())))</f>
        <v>46391.5833333333</v>
      </c>
      <c r="AL8" s="28" t="n">
        <f aca="false">IF(AK8="","",$A8+VLOOKUP(AH8,Schichten!$A$5:$G$24,4,FALSE())+IF(VLOOKUP(AH8,Schichten!$A$5:$G$24,4,FALSE())&lt;=VLOOKUP(AH8,Schichten!$A$5:$G$24,3,FALSE()),1,0))</f>
        <v>46391.9166666667</v>
      </c>
      <c r="AM8" s="28" t="n">
        <f aca="false">IF($A8="","",IF(N(AI7)&gt;0,AL7,AM7))</f>
        <v>46390.5833333333</v>
      </c>
      <c r="AN8" s="27" t="n">
        <f aca="false">IF(OR(AK8="",AM8=""),"",(AK8-AM8)*24)</f>
        <v>24</v>
      </c>
      <c r="AO8" s="21" t="n">
        <f aca="false">IF($A8="","",IF(N(AI8)&gt;0,N(AO7)+1,0))</f>
        <v>3</v>
      </c>
      <c r="AP8" s="21" t="n">
        <f aca="false">IF($A8="","",IF(N(AJ8)&gt;0,N(AP7)+1,0))</f>
        <v>0</v>
      </c>
      <c r="AQ8" s="21" t="str">
        <f aca="false">IF($A8="","",IF(WEEKDAY($A8,2)&lt;&gt;7,"",IF(AND(OR(AK8="",N(AK8)&gt;=$A8+16/24,N(AL8)&lt;=$A8+6/24),OR(AM8="",N(AM8)&lt;=$A8+6/24)),1,0)))</f>
        <v/>
      </c>
      <c r="AR8" s="26" t="str">
        <f aca="false">IF($A8="","",IF(INDEX(Muster!$C$10:$BF$10,1,MOD($A8-Einstellungen!$C$6,Einstellungen!$C$7)+1)="","-",INDEX(Muster!$C$10:$BF$10,1,MOD($A8-Einstellungen!$C$6,Einstellungen!$C$7)+1)))</f>
        <v>-</v>
      </c>
      <c r="AS8" s="27" t="n">
        <f aca="false">IF($A8="","",IFERROR(VLOOKUP(AR8,Schichten!$A$5:$G$24,6,FALSE()),0))</f>
        <v>0</v>
      </c>
      <c r="AT8" s="27" t="n">
        <f aca="false">IF($A8="","",IFERROR(VLOOKUP(AR8,Schichten!$A$5:$G$24,7,FALSE()),0))</f>
        <v>0</v>
      </c>
      <c r="AU8" s="28" t="str">
        <f aca="false">IF($A8="","",IF(N(AS8)=0,"",$A8+VLOOKUP(AR8,Schichten!$A$5:$G$24,3,FALSE())))</f>
        <v/>
      </c>
      <c r="AV8" s="28" t="str">
        <f aca="false">IF(AU8="","",$A8+VLOOKUP(AR8,Schichten!$A$5:$G$24,4,FALSE())+IF(VLOOKUP(AR8,Schichten!$A$5:$G$24,4,FALSE())&lt;=VLOOKUP(AR8,Schichten!$A$5:$G$24,3,FALSE()),1,0))</f>
        <v/>
      </c>
      <c r="AW8" s="28" t="str">
        <f aca="false">IF($A8="","",IF(N(AS7)&gt;0,AV7,AW7))</f>
        <v/>
      </c>
      <c r="AX8" s="27" t="str">
        <f aca="false">IF(OR(AU8="",AW8=""),"",(AU8-AW8)*24)</f>
        <v/>
      </c>
      <c r="AY8" s="21" t="n">
        <f aca="false">IF($A8="","",IF(N(AS8)&gt;0,N(AY7)+1,0))</f>
        <v>0</v>
      </c>
      <c r="AZ8" s="21" t="n">
        <f aca="false">IF($A8="","",IF(N(AT8)&gt;0,N(AZ7)+1,0))</f>
        <v>0</v>
      </c>
      <c r="BA8" s="21" t="str">
        <f aca="false">IF($A8="","",IF(WEEKDAY($A8,2)&lt;&gt;7,"",IF(AND(OR(AU8="",N(AU8)&gt;=$A8+16/24,N(AV8)&lt;=$A8+6/24),OR(AW8="",N(AW8)&lt;=$A8+6/24)),1,0)))</f>
        <v/>
      </c>
    </row>
    <row r="9" customFormat="false" ht="15" hidden="false" customHeight="false" outlineLevel="0" collapsed="false">
      <c r="A9" s="25" t="n">
        <f aca="false">IF(YEAR(DATE(Einstellungen!$C$4,1,1)+4)=Einstellungen!$C$4,DATE(Einstellungen!$C$4,1,1)+4,"")</f>
        <v>46392</v>
      </c>
      <c r="B9" s="26" t="str">
        <f aca="false">IF($A9="","",CHOOSE(WEEKDAY($A9,2),"Mo","Di","Mi","Do","Fr","Sa","So"))</f>
        <v>Di</v>
      </c>
      <c r="C9" s="26" t="n">
        <f aca="false">IF($A9="","",MONTH($A9))</f>
        <v>1</v>
      </c>
      <c r="D9" s="26" t="str">
        <f aca="false">IF($A9="","",IF(INDEX(Muster!$C$6:$BF$6,1,MOD($A9-Einstellungen!$C$6,Einstellungen!$C$7)+1)="","-",INDEX(Muster!$C$6:$BF$6,1,MOD($A9-Einstellungen!$C$6,Einstellungen!$C$7)+1)))</f>
        <v>F</v>
      </c>
      <c r="E9" s="27" t="n">
        <f aca="false">IF($A9="","",IFERROR(VLOOKUP(D9,Schichten!$A$5:$G$24,6,FALSE()),0))</f>
        <v>8</v>
      </c>
      <c r="F9" s="27" t="n">
        <f aca="false">IF($A9="","",IFERROR(VLOOKUP(D9,Schichten!$A$5:$G$24,7,FALSE()),0))</f>
        <v>0</v>
      </c>
      <c r="G9" s="28" t="n">
        <f aca="false">IF($A9="","",IF(N(E9)=0,"",$A9+VLOOKUP(D9,Schichten!$A$5:$G$24,3,FALSE())))</f>
        <v>46392.25</v>
      </c>
      <c r="H9" s="28" t="n">
        <f aca="false">IF(G9="","",$A9+VLOOKUP(D9,Schichten!$A$5:$G$24,4,FALSE())+IF(VLOOKUP(D9,Schichten!$A$5:$G$24,4,FALSE())&lt;=VLOOKUP(D9,Schichten!$A$5:$G$24,3,FALSE()),1,0))</f>
        <v>46392.5833333333</v>
      </c>
      <c r="I9" s="28" t="n">
        <f aca="false">IF($A9="","",IF(N(E8)&gt;0,H8,I8))</f>
        <v>46391.5833333333</v>
      </c>
      <c r="J9" s="27" t="n">
        <f aca="false">IF(OR(G9="",I9=""),"",(G9-I9)*24)</f>
        <v>16</v>
      </c>
      <c r="K9" s="21" t="n">
        <f aca="false">IF($A9="","",IF(N(E9)&gt;0,N(K8)+1,0))</f>
        <v>2</v>
      </c>
      <c r="L9" s="21" t="n">
        <f aca="false">IF($A9="","",IF(N(F9)&gt;0,N(L8)+1,0))</f>
        <v>0</v>
      </c>
      <c r="M9" s="21" t="str">
        <f aca="false">IF($A9="","",IF(WEEKDAY($A9,2)&lt;&gt;7,"",IF(AND(OR(G9="",N(G9)&gt;=$A9+16/24,N(H9)&lt;=$A9+6/24),OR(I9="",N(I9)&lt;=$A9+6/24)),1,0)))</f>
        <v/>
      </c>
      <c r="N9" s="26" t="str">
        <f aca="false">IF($A9="","",IF(INDEX(Muster!$C$7:$BF$7,1,MOD($A9-Einstellungen!$C$6,Einstellungen!$C$7)+1)="","-",INDEX(Muster!$C$7:$BF$7,1,MOD($A9-Einstellungen!$C$6,Einstellungen!$C$7)+1)))</f>
        <v>-</v>
      </c>
      <c r="O9" s="27" t="n">
        <f aca="false">IF($A9="","",IFERROR(VLOOKUP(N9,Schichten!$A$5:$G$24,6,FALSE()),0))</f>
        <v>0</v>
      </c>
      <c r="P9" s="27" t="n">
        <f aca="false">IF($A9="","",IFERROR(VLOOKUP(N9,Schichten!$A$5:$G$24,7,FALSE()),0))</f>
        <v>0</v>
      </c>
      <c r="Q9" s="28" t="str">
        <f aca="false">IF($A9="","",IF(N(O9)=0,"",$A9+VLOOKUP(N9,Schichten!$A$5:$G$24,3,FALSE())))</f>
        <v/>
      </c>
      <c r="R9" s="28" t="str">
        <f aca="false">IF(Q9="","",$A9+VLOOKUP(N9,Schichten!$A$5:$G$24,4,FALSE())+IF(VLOOKUP(N9,Schichten!$A$5:$G$24,4,FALSE())&lt;=VLOOKUP(N9,Schichten!$A$5:$G$24,3,FALSE()),1,0))</f>
        <v/>
      </c>
      <c r="S9" s="28" t="n">
        <f aca="false">IF($A9="","",IF(N(O8)&gt;0,R8,S8))</f>
        <v>46391.25</v>
      </c>
      <c r="T9" s="27" t="str">
        <f aca="false">IF(OR(Q9="",S9=""),"",(Q9-S9)*24)</f>
        <v/>
      </c>
      <c r="U9" s="21" t="n">
        <f aca="false">IF($A9="","",IF(N(O9)&gt;0,N(U8)+1,0))</f>
        <v>0</v>
      </c>
      <c r="V9" s="21" t="n">
        <f aca="false">IF($A9="","",IF(N(P9)&gt;0,N(V8)+1,0))</f>
        <v>0</v>
      </c>
      <c r="W9" s="21" t="str">
        <f aca="false">IF($A9="","",IF(WEEKDAY($A9,2)&lt;&gt;7,"",IF(AND(OR(Q9="",N(Q9)&gt;=$A9+16/24,N(R9)&lt;=$A9+6/24),OR(S9="",N(S9)&lt;=$A9+6/24)),1,0)))</f>
        <v/>
      </c>
      <c r="X9" s="26" t="str">
        <f aca="false">IF($A9="","",IF(INDEX(Muster!$C$8:$BF$8,1,MOD($A9-Einstellungen!$C$6,Einstellungen!$C$7)+1)="","-",INDEX(Muster!$C$8:$BF$8,1,MOD($A9-Einstellungen!$C$6,Einstellungen!$C$7)+1)))</f>
        <v>N</v>
      </c>
      <c r="Y9" s="27" t="n">
        <f aca="false">IF($A9="","",IFERROR(VLOOKUP(X9,Schichten!$A$5:$G$24,6,FALSE()),0))</f>
        <v>8</v>
      </c>
      <c r="Z9" s="27" t="n">
        <f aca="false">IF($A9="","",IFERROR(VLOOKUP(X9,Schichten!$A$5:$G$24,7,FALSE()),0))</f>
        <v>7</v>
      </c>
      <c r="AA9" s="28" t="n">
        <f aca="false">IF($A9="","",IF(N(Y9)=0,"",$A9+VLOOKUP(X9,Schichten!$A$5:$G$24,3,FALSE())))</f>
        <v>46392.9166666667</v>
      </c>
      <c r="AB9" s="28" t="n">
        <f aca="false">IF(AA9="","",$A9+VLOOKUP(X9,Schichten!$A$5:$G$24,4,FALSE())+IF(VLOOKUP(X9,Schichten!$A$5:$G$24,4,FALSE())&lt;=VLOOKUP(X9,Schichten!$A$5:$G$24,3,FALSE()),1,0))</f>
        <v>46393.25</v>
      </c>
      <c r="AC9" s="28" t="n">
        <f aca="false">IF($A9="","",IF(N(Y8)&gt;0,AB8,AC8))</f>
        <v>46392.25</v>
      </c>
      <c r="AD9" s="27" t="n">
        <f aca="false">IF(OR(AA9="",AC9=""),"",(AA9-AC9)*24)</f>
        <v>16</v>
      </c>
      <c r="AE9" s="21" t="n">
        <f aca="false">IF($A9="","",IF(N(Y9)&gt;0,N(AE8)+1,0))</f>
        <v>5</v>
      </c>
      <c r="AF9" s="21" t="n">
        <f aca="false">IF($A9="","",IF(N(Z9)&gt;0,N(AF8)+1,0))</f>
        <v>2</v>
      </c>
      <c r="AG9" s="21" t="str">
        <f aca="false">IF($A9="","",IF(WEEKDAY($A9,2)&lt;&gt;7,"",IF(AND(OR(AA9="",N(AA9)&gt;=$A9+16/24,N(AB9)&lt;=$A9+6/24),OR(AC9="",N(AC9)&lt;=$A9+6/24)),1,0)))</f>
        <v/>
      </c>
      <c r="AH9" s="26" t="str">
        <f aca="false">IF($A9="","",IF(INDEX(Muster!$C$9:$BF$9,1,MOD($A9-Einstellungen!$C$6,Einstellungen!$C$7)+1)="","-",INDEX(Muster!$C$9:$BF$9,1,MOD($A9-Einstellungen!$C$6,Einstellungen!$C$7)+1)))</f>
        <v>S</v>
      </c>
      <c r="AI9" s="27" t="n">
        <f aca="false">IF($A9="","",IFERROR(VLOOKUP(AH9,Schichten!$A$5:$G$24,6,FALSE()),0))</f>
        <v>8</v>
      </c>
      <c r="AJ9" s="27" t="n">
        <f aca="false">IF($A9="","",IFERROR(VLOOKUP(AH9,Schichten!$A$5:$G$24,7,FALSE()),0))</f>
        <v>0</v>
      </c>
      <c r="AK9" s="28" t="n">
        <f aca="false">IF($A9="","",IF(N(AI9)=0,"",$A9+VLOOKUP(AH9,Schichten!$A$5:$G$24,3,FALSE())))</f>
        <v>46392.5833333333</v>
      </c>
      <c r="AL9" s="28" t="n">
        <f aca="false">IF(AK9="","",$A9+VLOOKUP(AH9,Schichten!$A$5:$G$24,4,FALSE())+IF(VLOOKUP(AH9,Schichten!$A$5:$G$24,4,FALSE())&lt;=VLOOKUP(AH9,Schichten!$A$5:$G$24,3,FALSE()),1,0))</f>
        <v>46392.9166666667</v>
      </c>
      <c r="AM9" s="28" t="n">
        <f aca="false">IF($A9="","",IF(N(AI8)&gt;0,AL8,AM8))</f>
        <v>46391.9166666667</v>
      </c>
      <c r="AN9" s="27" t="n">
        <f aca="false">IF(OR(AK9="",AM9=""),"",(AK9-AM9)*24)</f>
        <v>16</v>
      </c>
      <c r="AO9" s="21" t="n">
        <f aca="false">IF($A9="","",IF(N(AI9)&gt;0,N(AO8)+1,0))</f>
        <v>4</v>
      </c>
      <c r="AP9" s="21" t="n">
        <f aca="false">IF($A9="","",IF(N(AJ9)&gt;0,N(AP8)+1,0))</f>
        <v>0</v>
      </c>
      <c r="AQ9" s="21" t="str">
        <f aca="false">IF($A9="","",IF(WEEKDAY($A9,2)&lt;&gt;7,"",IF(AND(OR(AK9="",N(AK9)&gt;=$A9+16/24,N(AL9)&lt;=$A9+6/24),OR(AM9="",N(AM9)&lt;=$A9+6/24)),1,0)))</f>
        <v/>
      </c>
      <c r="AR9" s="26" t="str">
        <f aca="false">IF($A9="","",IF(INDEX(Muster!$C$10:$BF$10,1,MOD($A9-Einstellungen!$C$6,Einstellungen!$C$7)+1)="","-",INDEX(Muster!$C$10:$BF$10,1,MOD($A9-Einstellungen!$C$6,Einstellungen!$C$7)+1)))</f>
        <v>-</v>
      </c>
      <c r="AS9" s="27" t="n">
        <f aca="false">IF($A9="","",IFERROR(VLOOKUP(AR9,Schichten!$A$5:$G$24,6,FALSE()),0))</f>
        <v>0</v>
      </c>
      <c r="AT9" s="27" t="n">
        <f aca="false">IF($A9="","",IFERROR(VLOOKUP(AR9,Schichten!$A$5:$G$24,7,FALSE()),0))</f>
        <v>0</v>
      </c>
      <c r="AU9" s="28" t="str">
        <f aca="false">IF($A9="","",IF(N(AS9)=0,"",$A9+VLOOKUP(AR9,Schichten!$A$5:$G$24,3,FALSE())))</f>
        <v/>
      </c>
      <c r="AV9" s="28" t="str">
        <f aca="false">IF(AU9="","",$A9+VLOOKUP(AR9,Schichten!$A$5:$G$24,4,FALSE())+IF(VLOOKUP(AR9,Schichten!$A$5:$G$24,4,FALSE())&lt;=VLOOKUP(AR9,Schichten!$A$5:$G$24,3,FALSE()),1,0))</f>
        <v/>
      </c>
      <c r="AW9" s="28" t="str">
        <f aca="false">IF($A9="","",IF(N(AS8)&gt;0,AV8,AW8))</f>
        <v/>
      </c>
      <c r="AX9" s="27" t="str">
        <f aca="false">IF(OR(AU9="",AW9=""),"",(AU9-AW9)*24)</f>
        <v/>
      </c>
      <c r="AY9" s="21" t="n">
        <f aca="false">IF($A9="","",IF(N(AS9)&gt;0,N(AY8)+1,0))</f>
        <v>0</v>
      </c>
      <c r="AZ9" s="21" t="n">
        <f aca="false">IF($A9="","",IF(N(AT9)&gt;0,N(AZ8)+1,0))</f>
        <v>0</v>
      </c>
      <c r="BA9" s="21" t="str">
        <f aca="false">IF($A9="","",IF(WEEKDAY($A9,2)&lt;&gt;7,"",IF(AND(OR(AU9="",N(AU9)&gt;=$A9+16/24,N(AV9)&lt;=$A9+6/24),OR(AW9="",N(AW9)&lt;=$A9+6/24)),1,0)))</f>
        <v/>
      </c>
    </row>
    <row r="10" customFormat="false" ht="15" hidden="false" customHeight="false" outlineLevel="0" collapsed="false">
      <c r="A10" s="25" t="n">
        <f aca="false">IF(YEAR(DATE(Einstellungen!$C$4,1,1)+5)=Einstellungen!$C$4,DATE(Einstellungen!$C$4,1,1)+5,"")</f>
        <v>46393</v>
      </c>
      <c r="B10" s="26" t="str">
        <f aca="false">IF($A10="","",CHOOSE(WEEKDAY($A10,2),"Mo","Di","Mi","Do","Fr","Sa","So"))</f>
        <v>Mi</v>
      </c>
      <c r="C10" s="26" t="n">
        <f aca="false">IF($A10="","",MONTH($A10))</f>
        <v>1</v>
      </c>
      <c r="D10" s="26" t="str">
        <f aca="false">IF($A10="","",IF(INDEX(Muster!$C$6:$BF$6,1,MOD($A10-Einstellungen!$C$6,Einstellungen!$C$7)+1)="","-",INDEX(Muster!$C$6:$BF$6,1,MOD($A10-Einstellungen!$C$6,Einstellungen!$C$7)+1)))</f>
        <v>S</v>
      </c>
      <c r="E10" s="27" t="n">
        <f aca="false">IF($A10="","",IFERROR(VLOOKUP(D10,Schichten!$A$5:$G$24,6,FALSE()),0))</f>
        <v>8</v>
      </c>
      <c r="F10" s="27" t="n">
        <f aca="false">IF($A10="","",IFERROR(VLOOKUP(D10,Schichten!$A$5:$G$24,7,FALSE()),0))</f>
        <v>0</v>
      </c>
      <c r="G10" s="28" t="n">
        <f aca="false">IF($A10="","",IF(N(E10)=0,"",$A10+VLOOKUP(D10,Schichten!$A$5:$G$24,3,FALSE())))</f>
        <v>46393.5833333333</v>
      </c>
      <c r="H10" s="28" t="n">
        <f aca="false">IF(G10="","",$A10+VLOOKUP(D10,Schichten!$A$5:$G$24,4,FALSE())+IF(VLOOKUP(D10,Schichten!$A$5:$G$24,4,FALSE())&lt;=VLOOKUP(D10,Schichten!$A$5:$G$24,3,FALSE()),1,0))</f>
        <v>46393.9166666667</v>
      </c>
      <c r="I10" s="28" t="n">
        <f aca="false">IF($A10="","",IF(N(E9)&gt;0,H9,I9))</f>
        <v>46392.5833333333</v>
      </c>
      <c r="J10" s="27" t="n">
        <f aca="false">IF(OR(G10="",I10=""),"",(G10-I10)*24)</f>
        <v>24</v>
      </c>
      <c r="K10" s="21" t="n">
        <f aca="false">IF($A10="","",IF(N(E10)&gt;0,N(K9)+1,0))</f>
        <v>3</v>
      </c>
      <c r="L10" s="21" t="n">
        <f aca="false">IF($A10="","",IF(N(F10)&gt;0,N(L9)+1,0))</f>
        <v>0</v>
      </c>
      <c r="M10" s="21" t="str">
        <f aca="false">IF($A10="","",IF(WEEKDAY($A10,2)&lt;&gt;7,"",IF(AND(OR(G10="",N(G10)&gt;=$A10+16/24,N(H10)&lt;=$A10+6/24),OR(I10="",N(I10)&lt;=$A10+6/24)),1,0)))</f>
        <v/>
      </c>
      <c r="N10" s="26" t="str">
        <f aca="false">IF($A10="","",IF(INDEX(Muster!$C$7:$BF$7,1,MOD($A10-Einstellungen!$C$6,Einstellungen!$C$7)+1)="","-",INDEX(Muster!$C$7:$BF$7,1,MOD($A10-Einstellungen!$C$6,Einstellungen!$C$7)+1)))</f>
        <v>F</v>
      </c>
      <c r="O10" s="27" t="n">
        <f aca="false">IF($A10="","",IFERROR(VLOOKUP(N10,Schichten!$A$5:$G$24,6,FALSE()),0))</f>
        <v>8</v>
      </c>
      <c r="P10" s="27" t="n">
        <f aca="false">IF($A10="","",IFERROR(VLOOKUP(N10,Schichten!$A$5:$G$24,7,FALSE()),0))</f>
        <v>0</v>
      </c>
      <c r="Q10" s="28" t="n">
        <f aca="false">IF($A10="","",IF(N(O10)=0,"",$A10+VLOOKUP(N10,Schichten!$A$5:$G$24,3,FALSE())))</f>
        <v>46393.25</v>
      </c>
      <c r="R10" s="28" t="n">
        <f aca="false">IF(Q10="","",$A10+VLOOKUP(N10,Schichten!$A$5:$G$24,4,FALSE())+IF(VLOOKUP(N10,Schichten!$A$5:$G$24,4,FALSE())&lt;=VLOOKUP(N10,Schichten!$A$5:$G$24,3,FALSE()),1,0))</f>
        <v>46393.5833333333</v>
      </c>
      <c r="S10" s="28" t="n">
        <f aca="false">IF($A10="","",IF(N(O9)&gt;0,R9,S9))</f>
        <v>46391.25</v>
      </c>
      <c r="T10" s="27" t="n">
        <f aca="false">IF(OR(Q10="",S10=""),"",(Q10-S10)*24)</f>
        <v>48</v>
      </c>
      <c r="U10" s="21" t="n">
        <f aca="false">IF($A10="","",IF(N(O10)&gt;0,N(U9)+1,0))</f>
        <v>1</v>
      </c>
      <c r="V10" s="21" t="n">
        <f aca="false">IF($A10="","",IF(N(P10)&gt;0,N(V9)+1,0))</f>
        <v>0</v>
      </c>
      <c r="W10" s="21" t="str">
        <f aca="false">IF($A10="","",IF(WEEKDAY($A10,2)&lt;&gt;7,"",IF(AND(OR(Q10="",N(Q10)&gt;=$A10+16/24,N(R10)&lt;=$A10+6/24),OR(S10="",N(S10)&lt;=$A10+6/24)),1,0)))</f>
        <v/>
      </c>
      <c r="X10" s="26" t="str">
        <f aca="false">IF($A10="","",IF(INDEX(Muster!$C$8:$BF$8,1,MOD($A10-Einstellungen!$C$6,Einstellungen!$C$7)+1)="","-",INDEX(Muster!$C$8:$BF$8,1,MOD($A10-Einstellungen!$C$6,Einstellungen!$C$7)+1)))</f>
        <v>-</v>
      </c>
      <c r="Y10" s="27" t="n">
        <f aca="false">IF($A10="","",IFERROR(VLOOKUP(X10,Schichten!$A$5:$G$24,6,FALSE()),0))</f>
        <v>0</v>
      </c>
      <c r="Z10" s="27" t="n">
        <f aca="false">IF($A10="","",IFERROR(VLOOKUP(X10,Schichten!$A$5:$G$24,7,FALSE()),0))</f>
        <v>0</v>
      </c>
      <c r="AA10" s="28" t="str">
        <f aca="false">IF($A10="","",IF(N(Y10)=0,"",$A10+VLOOKUP(X10,Schichten!$A$5:$G$24,3,FALSE())))</f>
        <v/>
      </c>
      <c r="AB10" s="28" t="str">
        <f aca="false">IF(AA10="","",$A10+VLOOKUP(X10,Schichten!$A$5:$G$24,4,FALSE())+IF(VLOOKUP(X10,Schichten!$A$5:$G$24,4,FALSE())&lt;=VLOOKUP(X10,Schichten!$A$5:$G$24,3,FALSE()),1,0))</f>
        <v/>
      </c>
      <c r="AC10" s="28" t="n">
        <f aca="false">IF($A10="","",IF(N(Y9)&gt;0,AB9,AC9))</f>
        <v>46393.25</v>
      </c>
      <c r="AD10" s="27" t="str">
        <f aca="false">IF(OR(AA10="",AC10=""),"",(AA10-AC10)*24)</f>
        <v/>
      </c>
      <c r="AE10" s="21" t="n">
        <f aca="false">IF($A10="","",IF(N(Y10)&gt;0,N(AE9)+1,0))</f>
        <v>0</v>
      </c>
      <c r="AF10" s="21" t="n">
        <f aca="false">IF($A10="","",IF(N(Z10)&gt;0,N(AF9)+1,0))</f>
        <v>0</v>
      </c>
      <c r="AG10" s="21" t="str">
        <f aca="false">IF($A10="","",IF(WEEKDAY($A10,2)&lt;&gt;7,"",IF(AND(OR(AA10="",N(AA10)&gt;=$A10+16/24,N(AB10)&lt;=$A10+6/24),OR(AC10="",N(AC10)&lt;=$A10+6/24)),1,0)))</f>
        <v/>
      </c>
      <c r="AH10" s="26" t="str">
        <f aca="false">IF($A10="","",IF(INDEX(Muster!$C$9:$BF$9,1,MOD($A10-Einstellungen!$C$6,Einstellungen!$C$7)+1)="","-",INDEX(Muster!$C$9:$BF$9,1,MOD($A10-Einstellungen!$C$6,Einstellungen!$C$7)+1)))</f>
        <v>N</v>
      </c>
      <c r="AI10" s="27" t="n">
        <f aca="false">IF($A10="","",IFERROR(VLOOKUP(AH10,Schichten!$A$5:$G$24,6,FALSE()),0))</f>
        <v>8</v>
      </c>
      <c r="AJ10" s="27" t="n">
        <f aca="false">IF($A10="","",IFERROR(VLOOKUP(AH10,Schichten!$A$5:$G$24,7,FALSE()),0))</f>
        <v>7</v>
      </c>
      <c r="AK10" s="28" t="n">
        <f aca="false">IF($A10="","",IF(N(AI10)=0,"",$A10+VLOOKUP(AH10,Schichten!$A$5:$G$24,3,FALSE())))</f>
        <v>46393.9166666667</v>
      </c>
      <c r="AL10" s="28" t="n">
        <f aca="false">IF(AK10="","",$A10+VLOOKUP(AH10,Schichten!$A$5:$G$24,4,FALSE())+IF(VLOOKUP(AH10,Schichten!$A$5:$G$24,4,FALSE())&lt;=VLOOKUP(AH10,Schichten!$A$5:$G$24,3,FALSE()),1,0))</f>
        <v>46394.25</v>
      </c>
      <c r="AM10" s="28" t="n">
        <f aca="false">IF($A10="","",IF(N(AI9)&gt;0,AL9,AM9))</f>
        <v>46392.9166666667</v>
      </c>
      <c r="AN10" s="27" t="n">
        <f aca="false">IF(OR(AK10="",AM10=""),"",(AK10-AM10)*24)</f>
        <v>24</v>
      </c>
      <c r="AO10" s="21" t="n">
        <f aca="false">IF($A10="","",IF(N(AI10)&gt;0,N(AO9)+1,0))</f>
        <v>5</v>
      </c>
      <c r="AP10" s="21" t="n">
        <f aca="false">IF($A10="","",IF(N(AJ10)&gt;0,N(AP9)+1,0))</f>
        <v>1</v>
      </c>
      <c r="AQ10" s="21" t="str">
        <f aca="false">IF($A10="","",IF(WEEKDAY($A10,2)&lt;&gt;7,"",IF(AND(OR(AK10="",N(AK10)&gt;=$A10+16/24,N(AL10)&lt;=$A10+6/24),OR(AM10="",N(AM10)&lt;=$A10+6/24)),1,0)))</f>
        <v/>
      </c>
      <c r="AR10" s="26" t="str">
        <f aca="false">IF($A10="","",IF(INDEX(Muster!$C$10:$BF$10,1,MOD($A10-Einstellungen!$C$6,Einstellungen!$C$7)+1)="","-",INDEX(Muster!$C$10:$BF$10,1,MOD($A10-Einstellungen!$C$6,Einstellungen!$C$7)+1)))</f>
        <v>-</v>
      </c>
      <c r="AS10" s="27" t="n">
        <f aca="false">IF($A10="","",IFERROR(VLOOKUP(AR10,Schichten!$A$5:$G$24,6,FALSE()),0))</f>
        <v>0</v>
      </c>
      <c r="AT10" s="27" t="n">
        <f aca="false">IF($A10="","",IFERROR(VLOOKUP(AR10,Schichten!$A$5:$G$24,7,FALSE()),0))</f>
        <v>0</v>
      </c>
      <c r="AU10" s="28" t="str">
        <f aca="false">IF($A10="","",IF(N(AS10)=0,"",$A10+VLOOKUP(AR10,Schichten!$A$5:$G$24,3,FALSE())))</f>
        <v/>
      </c>
      <c r="AV10" s="28" t="str">
        <f aca="false">IF(AU10="","",$A10+VLOOKUP(AR10,Schichten!$A$5:$G$24,4,FALSE())+IF(VLOOKUP(AR10,Schichten!$A$5:$G$24,4,FALSE())&lt;=VLOOKUP(AR10,Schichten!$A$5:$G$24,3,FALSE()),1,0))</f>
        <v/>
      </c>
      <c r="AW10" s="28" t="str">
        <f aca="false">IF($A10="","",IF(N(AS9)&gt;0,AV9,AW9))</f>
        <v/>
      </c>
      <c r="AX10" s="27" t="str">
        <f aca="false">IF(OR(AU10="",AW10=""),"",(AU10-AW10)*24)</f>
        <v/>
      </c>
      <c r="AY10" s="21" t="n">
        <f aca="false">IF($A10="","",IF(N(AS10)&gt;0,N(AY9)+1,0))</f>
        <v>0</v>
      </c>
      <c r="AZ10" s="21" t="n">
        <f aca="false">IF($A10="","",IF(N(AT10)&gt;0,N(AZ9)+1,0))</f>
        <v>0</v>
      </c>
      <c r="BA10" s="21" t="str">
        <f aca="false">IF($A10="","",IF(WEEKDAY($A10,2)&lt;&gt;7,"",IF(AND(OR(AU10="",N(AU10)&gt;=$A10+16/24,N(AV10)&lt;=$A10+6/24),OR(AW10="",N(AW10)&lt;=$A10+6/24)),1,0)))</f>
        <v/>
      </c>
    </row>
    <row r="11" customFormat="false" ht="15" hidden="false" customHeight="false" outlineLevel="0" collapsed="false">
      <c r="A11" s="25" t="n">
        <f aca="false">IF(YEAR(DATE(Einstellungen!$C$4,1,1)+6)=Einstellungen!$C$4,DATE(Einstellungen!$C$4,1,1)+6,"")</f>
        <v>46394</v>
      </c>
      <c r="B11" s="26" t="str">
        <f aca="false">IF($A11="","",CHOOSE(WEEKDAY($A11,2),"Mo","Di","Mi","Do","Fr","Sa","So"))</f>
        <v>Do</v>
      </c>
      <c r="C11" s="26" t="n">
        <f aca="false">IF($A11="","",MONTH($A11))</f>
        <v>1</v>
      </c>
      <c r="D11" s="26" t="str">
        <f aca="false">IF($A11="","",IF(INDEX(Muster!$C$6:$BF$6,1,MOD($A11-Einstellungen!$C$6,Einstellungen!$C$7)+1)="","-",INDEX(Muster!$C$6:$BF$6,1,MOD($A11-Einstellungen!$C$6,Einstellungen!$C$7)+1)))</f>
        <v>S</v>
      </c>
      <c r="E11" s="27" t="n">
        <f aca="false">IF($A11="","",IFERROR(VLOOKUP(D11,Schichten!$A$5:$G$24,6,FALSE()),0))</f>
        <v>8</v>
      </c>
      <c r="F11" s="27" t="n">
        <f aca="false">IF($A11="","",IFERROR(VLOOKUP(D11,Schichten!$A$5:$G$24,7,FALSE()),0))</f>
        <v>0</v>
      </c>
      <c r="G11" s="28" t="n">
        <f aca="false">IF($A11="","",IF(N(E11)=0,"",$A11+VLOOKUP(D11,Schichten!$A$5:$G$24,3,FALSE())))</f>
        <v>46394.5833333333</v>
      </c>
      <c r="H11" s="28" t="n">
        <f aca="false">IF(G11="","",$A11+VLOOKUP(D11,Schichten!$A$5:$G$24,4,FALSE())+IF(VLOOKUP(D11,Schichten!$A$5:$G$24,4,FALSE())&lt;=VLOOKUP(D11,Schichten!$A$5:$G$24,3,FALSE()),1,0))</f>
        <v>46394.9166666667</v>
      </c>
      <c r="I11" s="28" t="n">
        <f aca="false">IF($A11="","",IF(N(E10)&gt;0,H10,I10))</f>
        <v>46393.9166666667</v>
      </c>
      <c r="J11" s="27" t="n">
        <f aca="false">IF(OR(G11="",I11=""),"",(G11-I11)*24)</f>
        <v>16</v>
      </c>
      <c r="K11" s="21" t="n">
        <f aca="false">IF($A11="","",IF(N(E11)&gt;0,N(K10)+1,0))</f>
        <v>4</v>
      </c>
      <c r="L11" s="21" t="n">
        <f aca="false">IF($A11="","",IF(N(F11)&gt;0,N(L10)+1,0))</f>
        <v>0</v>
      </c>
      <c r="M11" s="21" t="str">
        <f aca="false">IF($A11="","",IF(WEEKDAY($A11,2)&lt;&gt;7,"",IF(AND(OR(G11="",N(G11)&gt;=$A11+16/24,N(H11)&lt;=$A11+6/24),OR(I11="",N(I11)&lt;=$A11+6/24)),1,0)))</f>
        <v/>
      </c>
      <c r="N11" s="26" t="str">
        <f aca="false">IF($A11="","",IF(INDEX(Muster!$C$7:$BF$7,1,MOD($A11-Einstellungen!$C$6,Einstellungen!$C$7)+1)="","-",INDEX(Muster!$C$7:$BF$7,1,MOD($A11-Einstellungen!$C$6,Einstellungen!$C$7)+1)))</f>
        <v>F</v>
      </c>
      <c r="O11" s="27" t="n">
        <f aca="false">IF($A11="","",IFERROR(VLOOKUP(N11,Schichten!$A$5:$G$24,6,FALSE()),0))</f>
        <v>8</v>
      </c>
      <c r="P11" s="27" t="n">
        <f aca="false">IF($A11="","",IFERROR(VLOOKUP(N11,Schichten!$A$5:$G$24,7,FALSE()),0))</f>
        <v>0</v>
      </c>
      <c r="Q11" s="28" t="n">
        <f aca="false">IF($A11="","",IF(N(O11)=0,"",$A11+VLOOKUP(N11,Schichten!$A$5:$G$24,3,FALSE())))</f>
        <v>46394.25</v>
      </c>
      <c r="R11" s="28" t="n">
        <f aca="false">IF(Q11="","",$A11+VLOOKUP(N11,Schichten!$A$5:$G$24,4,FALSE())+IF(VLOOKUP(N11,Schichten!$A$5:$G$24,4,FALSE())&lt;=VLOOKUP(N11,Schichten!$A$5:$G$24,3,FALSE()),1,0))</f>
        <v>46394.5833333333</v>
      </c>
      <c r="S11" s="28" t="n">
        <f aca="false">IF($A11="","",IF(N(O10)&gt;0,R10,S10))</f>
        <v>46393.5833333333</v>
      </c>
      <c r="T11" s="27" t="n">
        <f aca="false">IF(OR(Q11="",S11=""),"",(Q11-S11)*24)</f>
        <v>16</v>
      </c>
      <c r="U11" s="21" t="n">
        <f aca="false">IF($A11="","",IF(N(O11)&gt;0,N(U10)+1,0))</f>
        <v>2</v>
      </c>
      <c r="V11" s="21" t="n">
        <f aca="false">IF($A11="","",IF(N(P11)&gt;0,N(V10)+1,0))</f>
        <v>0</v>
      </c>
      <c r="W11" s="21" t="str">
        <f aca="false">IF($A11="","",IF(WEEKDAY($A11,2)&lt;&gt;7,"",IF(AND(OR(Q11="",N(Q11)&gt;=$A11+16/24,N(R11)&lt;=$A11+6/24),OR(S11="",N(S11)&lt;=$A11+6/24)),1,0)))</f>
        <v/>
      </c>
      <c r="X11" s="26" t="str">
        <f aca="false">IF($A11="","",IF(INDEX(Muster!$C$8:$BF$8,1,MOD($A11-Einstellungen!$C$6,Einstellungen!$C$7)+1)="","-",INDEX(Muster!$C$8:$BF$8,1,MOD($A11-Einstellungen!$C$6,Einstellungen!$C$7)+1)))</f>
        <v>-</v>
      </c>
      <c r="Y11" s="27" t="n">
        <f aca="false">IF($A11="","",IFERROR(VLOOKUP(X11,Schichten!$A$5:$G$24,6,FALSE()),0))</f>
        <v>0</v>
      </c>
      <c r="Z11" s="27" t="n">
        <f aca="false">IF($A11="","",IFERROR(VLOOKUP(X11,Schichten!$A$5:$G$24,7,FALSE()),0))</f>
        <v>0</v>
      </c>
      <c r="AA11" s="28" t="str">
        <f aca="false">IF($A11="","",IF(N(Y11)=0,"",$A11+VLOOKUP(X11,Schichten!$A$5:$G$24,3,FALSE())))</f>
        <v/>
      </c>
      <c r="AB11" s="28" t="str">
        <f aca="false">IF(AA11="","",$A11+VLOOKUP(X11,Schichten!$A$5:$G$24,4,FALSE())+IF(VLOOKUP(X11,Schichten!$A$5:$G$24,4,FALSE())&lt;=VLOOKUP(X11,Schichten!$A$5:$G$24,3,FALSE()),1,0))</f>
        <v/>
      </c>
      <c r="AC11" s="28" t="n">
        <f aca="false">IF($A11="","",IF(N(Y10)&gt;0,AB10,AC10))</f>
        <v>46393.25</v>
      </c>
      <c r="AD11" s="27" t="str">
        <f aca="false">IF(OR(AA11="",AC11=""),"",(AA11-AC11)*24)</f>
        <v/>
      </c>
      <c r="AE11" s="21" t="n">
        <f aca="false">IF($A11="","",IF(N(Y11)&gt;0,N(AE10)+1,0))</f>
        <v>0</v>
      </c>
      <c r="AF11" s="21" t="n">
        <f aca="false">IF($A11="","",IF(N(Z11)&gt;0,N(AF10)+1,0))</f>
        <v>0</v>
      </c>
      <c r="AG11" s="21" t="str">
        <f aca="false">IF($A11="","",IF(WEEKDAY($A11,2)&lt;&gt;7,"",IF(AND(OR(AA11="",N(AA11)&gt;=$A11+16/24,N(AB11)&lt;=$A11+6/24),OR(AC11="",N(AC11)&lt;=$A11+6/24)),1,0)))</f>
        <v/>
      </c>
      <c r="AH11" s="26" t="str">
        <f aca="false">IF($A11="","",IF(INDEX(Muster!$C$9:$BF$9,1,MOD($A11-Einstellungen!$C$6,Einstellungen!$C$7)+1)="","-",INDEX(Muster!$C$9:$BF$9,1,MOD($A11-Einstellungen!$C$6,Einstellungen!$C$7)+1)))</f>
        <v>N</v>
      </c>
      <c r="AI11" s="27" t="n">
        <f aca="false">IF($A11="","",IFERROR(VLOOKUP(AH11,Schichten!$A$5:$G$24,6,FALSE()),0))</f>
        <v>8</v>
      </c>
      <c r="AJ11" s="27" t="n">
        <f aca="false">IF($A11="","",IFERROR(VLOOKUP(AH11,Schichten!$A$5:$G$24,7,FALSE()),0))</f>
        <v>7</v>
      </c>
      <c r="AK11" s="28" t="n">
        <f aca="false">IF($A11="","",IF(N(AI11)=0,"",$A11+VLOOKUP(AH11,Schichten!$A$5:$G$24,3,FALSE())))</f>
        <v>46394.9166666667</v>
      </c>
      <c r="AL11" s="28" t="n">
        <f aca="false">IF(AK11="","",$A11+VLOOKUP(AH11,Schichten!$A$5:$G$24,4,FALSE())+IF(VLOOKUP(AH11,Schichten!$A$5:$G$24,4,FALSE())&lt;=VLOOKUP(AH11,Schichten!$A$5:$G$24,3,FALSE()),1,0))</f>
        <v>46395.25</v>
      </c>
      <c r="AM11" s="28" t="n">
        <f aca="false">IF($A11="","",IF(N(AI10)&gt;0,AL10,AM10))</f>
        <v>46394.25</v>
      </c>
      <c r="AN11" s="27" t="n">
        <f aca="false">IF(OR(AK11="",AM11=""),"",(AK11-AM11)*24)</f>
        <v>16</v>
      </c>
      <c r="AO11" s="21" t="n">
        <f aca="false">IF($A11="","",IF(N(AI11)&gt;0,N(AO10)+1,0))</f>
        <v>6</v>
      </c>
      <c r="AP11" s="21" t="n">
        <f aca="false">IF($A11="","",IF(N(AJ11)&gt;0,N(AP10)+1,0))</f>
        <v>2</v>
      </c>
      <c r="AQ11" s="21" t="str">
        <f aca="false">IF($A11="","",IF(WEEKDAY($A11,2)&lt;&gt;7,"",IF(AND(OR(AK11="",N(AK11)&gt;=$A11+16/24,N(AL11)&lt;=$A11+6/24),OR(AM11="",N(AM11)&lt;=$A11+6/24)),1,0)))</f>
        <v/>
      </c>
      <c r="AR11" s="26" t="str">
        <f aca="false">IF($A11="","",IF(INDEX(Muster!$C$10:$BF$10,1,MOD($A11-Einstellungen!$C$6,Einstellungen!$C$7)+1)="","-",INDEX(Muster!$C$10:$BF$10,1,MOD($A11-Einstellungen!$C$6,Einstellungen!$C$7)+1)))</f>
        <v>-</v>
      </c>
      <c r="AS11" s="27" t="n">
        <f aca="false">IF($A11="","",IFERROR(VLOOKUP(AR11,Schichten!$A$5:$G$24,6,FALSE()),0))</f>
        <v>0</v>
      </c>
      <c r="AT11" s="27" t="n">
        <f aca="false">IF($A11="","",IFERROR(VLOOKUP(AR11,Schichten!$A$5:$G$24,7,FALSE()),0))</f>
        <v>0</v>
      </c>
      <c r="AU11" s="28" t="str">
        <f aca="false">IF($A11="","",IF(N(AS11)=0,"",$A11+VLOOKUP(AR11,Schichten!$A$5:$G$24,3,FALSE())))</f>
        <v/>
      </c>
      <c r="AV11" s="28" t="str">
        <f aca="false">IF(AU11="","",$A11+VLOOKUP(AR11,Schichten!$A$5:$G$24,4,FALSE())+IF(VLOOKUP(AR11,Schichten!$A$5:$G$24,4,FALSE())&lt;=VLOOKUP(AR11,Schichten!$A$5:$G$24,3,FALSE()),1,0))</f>
        <v/>
      </c>
      <c r="AW11" s="28" t="str">
        <f aca="false">IF($A11="","",IF(N(AS10)&gt;0,AV10,AW10))</f>
        <v/>
      </c>
      <c r="AX11" s="27" t="str">
        <f aca="false">IF(OR(AU11="",AW11=""),"",(AU11-AW11)*24)</f>
        <v/>
      </c>
      <c r="AY11" s="21" t="n">
        <f aca="false">IF($A11="","",IF(N(AS11)&gt;0,N(AY10)+1,0))</f>
        <v>0</v>
      </c>
      <c r="AZ11" s="21" t="n">
        <f aca="false">IF($A11="","",IF(N(AT11)&gt;0,N(AZ10)+1,0))</f>
        <v>0</v>
      </c>
      <c r="BA11" s="21" t="str">
        <f aca="false">IF($A11="","",IF(WEEKDAY($A11,2)&lt;&gt;7,"",IF(AND(OR(AU11="",N(AU11)&gt;=$A11+16/24,N(AV11)&lt;=$A11+6/24),OR(AW11="",N(AW11)&lt;=$A11+6/24)),1,0)))</f>
        <v/>
      </c>
    </row>
    <row r="12" customFormat="false" ht="15" hidden="false" customHeight="false" outlineLevel="0" collapsed="false">
      <c r="A12" s="25" t="n">
        <f aca="false">IF(YEAR(DATE(Einstellungen!$C$4,1,1)+7)=Einstellungen!$C$4,DATE(Einstellungen!$C$4,1,1)+7,"")</f>
        <v>46395</v>
      </c>
      <c r="B12" s="26" t="str">
        <f aca="false">IF($A12="","",CHOOSE(WEEKDAY($A12,2),"Mo","Di","Mi","Do","Fr","Sa","So"))</f>
        <v>Fr</v>
      </c>
      <c r="C12" s="26" t="n">
        <f aca="false">IF($A12="","",MONTH($A12))</f>
        <v>1</v>
      </c>
      <c r="D12" s="26" t="str">
        <f aca="false">IF($A12="","",IF(INDEX(Muster!$C$6:$BF$6,1,MOD($A12-Einstellungen!$C$6,Einstellungen!$C$7)+1)="","-",INDEX(Muster!$C$6:$BF$6,1,MOD($A12-Einstellungen!$C$6,Einstellungen!$C$7)+1)))</f>
        <v>N</v>
      </c>
      <c r="E12" s="27" t="n">
        <f aca="false">IF($A12="","",IFERROR(VLOOKUP(D12,Schichten!$A$5:$G$24,6,FALSE()),0))</f>
        <v>8</v>
      </c>
      <c r="F12" s="27" t="n">
        <f aca="false">IF($A12="","",IFERROR(VLOOKUP(D12,Schichten!$A$5:$G$24,7,FALSE()),0))</f>
        <v>7</v>
      </c>
      <c r="G12" s="28" t="n">
        <f aca="false">IF($A12="","",IF(N(E12)=0,"",$A12+VLOOKUP(D12,Schichten!$A$5:$G$24,3,FALSE())))</f>
        <v>46395.9166666667</v>
      </c>
      <c r="H12" s="28" t="n">
        <f aca="false">IF(G12="","",$A12+VLOOKUP(D12,Schichten!$A$5:$G$24,4,FALSE())+IF(VLOOKUP(D12,Schichten!$A$5:$G$24,4,FALSE())&lt;=VLOOKUP(D12,Schichten!$A$5:$G$24,3,FALSE()),1,0))</f>
        <v>46396.25</v>
      </c>
      <c r="I12" s="28" t="n">
        <f aca="false">IF($A12="","",IF(N(E11)&gt;0,H11,I11))</f>
        <v>46394.9166666667</v>
      </c>
      <c r="J12" s="27" t="n">
        <f aca="false">IF(OR(G12="",I12=""),"",(G12-I12)*24)</f>
        <v>24</v>
      </c>
      <c r="K12" s="21" t="n">
        <f aca="false">IF($A12="","",IF(N(E12)&gt;0,N(K11)+1,0))</f>
        <v>5</v>
      </c>
      <c r="L12" s="21" t="n">
        <f aca="false">IF($A12="","",IF(N(F12)&gt;0,N(L11)+1,0))</f>
        <v>1</v>
      </c>
      <c r="M12" s="21" t="str">
        <f aca="false">IF($A12="","",IF(WEEKDAY($A12,2)&lt;&gt;7,"",IF(AND(OR(G12="",N(G12)&gt;=$A12+16/24,N(H12)&lt;=$A12+6/24),OR(I12="",N(I12)&lt;=$A12+6/24)),1,0)))</f>
        <v/>
      </c>
      <c r="N12" s="26" t="str">
        <f aca="false">IF($A12="","",IF(INDEX(Muster!$C$7:$BF$7,1,MOD($A12-Einstellungen!$C$6,Einstellungen!$C$7)+1)="","-",INDEX(Muster!$C$7:$BF$7,1,MOD($A12-Einstellungen!$C$6,Einstellungen!$C$7)+1)))</f>
        <v>S</v>
      </c>
      <c r="O12" s="27" t="n">
        <f aca="false">IF($A12="","",IFERROR(VLOOKUP(N12,Schichten!$A$5:$G$24,6,FALSE()),0))</f>
        <v>8</v>
      </c>
      <c r="P12" s="27" t="n">
        <f aca="false">IF($A12="","",IFERROR(VLOOKUP(N12,Schichten!$A$5:$G$24,7,FALSE()),0))</f>
        <v>0</v>
      </c>
      <c r="Q12" s="28" t="n">
        <f aca="false">IF($A12="","",IF(N(O12)=0,"",$A12+VLOOKUP(N12,Schichten!$A$5:$G$24,3,FALSE())))</f>
        <v>46395.5833333333</v>
      </c>
      <c r="R12" s="28" t="n">
        <f aca="false">IF(Q12="","",$A12+VLOOKUP(N12,Schichten!$A$5:$G$24,4,FALSE())+IF(VLOOKUP(N12,Schichten!$A$5:$G$24,4,FALSE())&lt;=VLOOKUP(N12,Schichten!$A$5:$G$24,3,FALSE()),1,0))</f>
        <v>46395.9166666667</v>
      </c>
      <c r="S12" s="28" t="n">
        <f aca="false">IF($A12="","",IF(N(O11)&gt;0,R11,S11))</f>
        <v>46394.5833333333</v>
      </c>
      <c r="T12" s="27" t="n">
        <f aca="false">IF(OR(Q12="",S12=""),"",(Q12-S12)*24)</f>
        <v>24</v>
      </c>
      <c r="U12" s="21" t="n">
        <f aca="false">IF($A12="","",IF(N(O12)&gt;0,N(U11)+1,0))</f>
        <v>3</v>
      </c>
      <c r="V12" s="21" t="n">
        <f aca="false">IF($A12="","",IF(N(P12)&gt;0,N(V11)+1,0))</f>
        <v>0</v>
      </c>
      <c r="W12" s="21" t="str">
        <f aca="false">IF($A12="","",IF(WEEKDAY($A12,2)&lt;&gt;7,"",IF(AND(OR(Q12="",N(Q12)&gt;=$A12+16/24,N(R12)&lt;=$A12+6/24),OR(S12="",N(S12)&lt;=$A12+6/24)),1,0)))</f>
        <v/>
      </c>
      <c r="X12" s="26" t="str">
        <f aca="false">IF($A12="","",IF(INDEX(Muster!$C$8:$BF$8,1,MOD($A12-Einstellungen!$C$6,Einstellungen!$C$7)+1)="","-",INDEX(Muster!$C$8:$BF$8,1,MOD($A12-Einstellungen!$C$6,Einstellungen!$C$7)+1)))</f>
        <v>F</v>
      </c>
      <c r="Y12" s="27" t="n">
        <f aca="false">IF($A12="","",IFERROR(VLOOKUP(X12,Schichten!$A$5:$G$24,6,FALSE()),0))</f>
        <v>8</v>
      </c>
      <c r="Z12" s="27" t="n">
        <f aca="false">IF($A12="","",IFERROR(VLOOKUP(X12,Schichten!$A$5:$G$24,7,FALSE()),0))</f>
        <v>0</v>
      </c>
      <c r="AA12" s="28" t="n">
        <f aca="false">IF($A12="","",IF(N(Y12)=0,"",$A12+VLOOKUP(X12,Schichten!$A$5:$G$24,3,FALSE())))</f>
        <v>46395.25</v>
      </c>
      <c r="AB12" s="28" t="n">
        <f aca="false">IF(AA12="","",$A12+VLOOKUP(X12,Schichten!$A$5:$G$24,4,FALSE())+IF(VLOOKUP(X12,Schichten!$A$5:$G$24,4,FALSE())&lt;=VLOOKUP(X12,Schichten!$A$5:$G$24,3,FALSE()),1,0))</f>
        <v>46395.5833333333</v>
      </c>
      <c r="AC12" s="28" t="n">
        <f aca="false">IF($A12="","",IF(N(Y11)&gt;0,AB11,AC11))</f>
        <v>46393.25</v>
      </c>
      <c r="AD12" s="27" t="n">
        <f aca="false">IF(OR(AA12="",AC12=""),"",(AA12-AC12)*24)</f>
        <v>48</v>
      </c>
      <c r="AE12" s="21" t="n">
        <f aca="false">IF($A12="","",IF(N(Y12)&gt;0,N(AE11)+1,0))</f>
        <v>1</v>
      </c>
      <c r="AF12" s="21" t="n">
        <f aca="false">IF($A12="","",IF(N(Z12)&gt;0,N(AF11)+1,0))</f>
        <v>0</v>
      </c>
      <c r="AG12" s="21" t="str">
        <f aca="false">IF($A12="","",IF(WEEKDAY($A12,2)&lt;&gt;7,"",IF(AND(OR(AA12="",N(AA12)&gt;=$A12+16/24,N(AB12)&lt;=$A12+6/24),OR(AC12="",N(AC12)&lt;=$A12+6/24)),1,0)))</f>
        <v/>
      </c>
      <c r="AH12" s="26" t="str">
        <f aca="false">IF($A12="","",IF(INDEX(Muster!$C$9:$BF$9,1,MOD($A12-Einstellungen!$C$6,Einstellungen!$C$7)+1)="","-",INDEX(Muster!$C$9:$BF$9,1,MOD($A12-Einstellungen!$C$6,Einstellungen!$C$7)+1)))</f>
        <v>-</v>
      </c>
      <c r="AI12" s="27" t="n">
        <f aca="false">IF($A12="","",IFERROR(VLOOKUP(AH12,Schichten!$A$5:$G$24,6,FALSE()),0))</f>
        <v>0</v>
      </c>
      <c r="AJ12" s="27" t="n">
        <f aca="false">IF($A12="","",IFERROR(VLOOKUP(AH12,Schichten!$A$5:$G$24,7,FALSE()),0))</f>
        <v>0</v>
      </c>
      <c r="AK12" s="28" t="str">
        <f aca="false">IF($A12="","",IF(N(AI12)=0,"",$A12+VLOOKUP(AH12,Schichten!$A$5:$G$24,3,FALSE())))</f>
        <v/>
      </c>
      <c r="AL12" s="28" t="str">
        <f aca="false">IF(AK12="","",$A12+VLOOKUP(AH12,Schichten!$A$5:$G$24,4,FALSE())+IF(VLOOKUP(AH12,Schichten!$A$5:$G$24,4,FALSE())&lt;=VLOOKUP(AH12,Schichten!$A$5:$G$24,3,FALSE()),1,0))</f>
        <v/>
      </c>
      <c r="AM12" s="28" t="n">
        <f aca="false">IF($A12="","",IF(N(AI11)&gt;0,AL11,AM11))</f>
        <v>46395.25</v>
      </c>
      <c r="AN12" s="27" t="str">
        <f aca="false">IF(OR(AK12="",AM12=""),"",(AK12-AM12)*24)</f>
        <v/>
      </c>
      <c r="AO12" s="21" t="n">
        <f aca="false">IF($A12="","",IF(N(AI12)&gt;0,N(AO11)+1,0))</f>
        <v>0</v>
      </c>
      <c r="AP12" s="21" t="n">
        <f aca="false">IF($A12="","",IF(N(AJ12)&gt;0,N(AP11)+1,0))</f>
        <v>0</v>
      </c>
      <c r="AQ12" s="21" t="str">
        <f aca="false">IF($A12="","",IF(WEEKDAY($A12,2)&lt;&gt;7,"",IF(AND(OR(AK12="",N(AK12)&gt;=$A12+16/24,N(AL12)&lt;=$A12+6/24),OR(AM12="",N(AM12)&lt;=$A12+6/24)),1,0)))</f>
        <v/>
      </c>
      <c r="AR12" s="26" t="str">
        <f aca="false">IF($A12="","",IF(INDEX(Muster!$C$10:$BF$10,1,MOD($A12-Einstellungen!$C$6,Einstellungen!$C$7)+1)="","-",INDEX(Muster!$C$10:$BF$10,1,MOD($A12-Einstellungen!$C$6,Einstellungen!$C$7)+1)))</f>
        <v>-</v>
      </c>
      <c r="AS12" s="27" t="n">
        <f aca="false">IF($A12="","",IFERROR(VLOOKUP(AR12,Schichten!$A$5:$G$24,6,FALSE()),0))</f>
        <v>0</v>
      </c>
      <c r="AT12" s="27" t="n">
        <f aca="false">IF($A12="","",IFERROR(VLOOKUP(AR12,Schichten!$A$5:$G$24,7,FALSE()),0))</f>
        <v>0</v>
      </c>
      <c r="AU12" s="28" t="str">
        <f aca="false">IF($A12="","",IF(N(AS12)=0,"",$A12+VLOOKUP(AR12,Schichten!$A$5:$G$24,3,FALSE())))</f>
        <v/>
      </c>
      <c r="AV12" s="28" t="str">
        <f aca="false">IF(AU12="","",$A12+VLOOKUP(AR12,Schichten!$A$5:$G$24,4,FALSE())+IF(VLOOKUP(AR12,Schichten!$A$5:$G$24,4,FALSE())&lt;=VLOOKUP(AR12,Schichten!$A$5:$G$24,3,FALSE()),1,0))</f>
        <v/>
      </c>
      <c r="AW12" s="28" t="str">
        <f aca="false">IF($A12="","",IF(N(AS11)&gt;0,AV11,AW11))</f>
        <v/>
      </c>
      <c r="AX12" s="27" t="str">
        <f aca="false">IF(OR(AU12="",AW12=""),"",(AU12-AW12)*24)</f>
        <v/>
      </c>
      <c r="AY12" s="21" t="n">
        <f aca="false">IF($A12="","",IF(N(AS12)&gt;0,N(AY11)+1,0))</f>
        <v>0</v>
      </c>
      <c r="AZ12" s="21" t="n">
        <f aca="false">IF($A12="","",IF(N(AT12)&gt;0,N(AZ11)+1,0))</f>
        <v>0</v>
      </c>
      <c r="BA12" s="21" t="str">
        <f aca="false">IF($A12="","",IF(WEEKDAY($A12,2)&lt;&gt;7,"",IF(AND(OR(AU12="",N(AU12)&gt;=$A12+16/24,N(AV12)&lt;=$A12+6/24),OR(AW12="",N(AW12)&lt;=$A12+6/24)),1,0)))</f>
        <v/>
      </c>
    </row>
    <row r="13" customFormat="false" ht="15" hidden="false" customHeight="false" outlineLevel="0" collapsed="false">
      <c r="A13" s="25" t="n">
        <f aca="false">IF(YEAR(DATE(Einstellungen!$C$4,1,1)+8)=Einstellungen!$C$4,DATE(Einstellungen!$C$4,1,1)+8,"")</f>
        <v>46396</v>
      </c>
      <c r="B13" s="26" t="str">
        <f aca="false">IF($A13="","",CHOOSE(WEEKDAY($A13,2),"Mo","Di","Mi","Do","Fr","Sa","So"))</f>
        <v>Sa</v>
      </c>
      <c r="C13" s="26" t="n">
        <f aca="false">IF($A13="","",MONTH($A13))</f>
        <v>1</v>
      </c>
      <c r="D13" s="26" t="str">
        <f aca="false">IF($A13="","",IF(INDEX(Muster!$C$6:$BF$6,1,MOD($A13-Einstellungen!$C$6,Einstellungen!$C$7)+1)="","-",INDEX(Muster!$C$6:$BF$6,1,MOD($A13-Einstellungen!$C$6,Einstellungen!$C$7)+1)))</f>
        <v>N</v>
      </c>
      <c r="E13" s="27" t="n">
        <f aca="false">IF($A13="","",IFERROR(VLOOKUP(D13,Schichten!$A$5:$G$24,6,FALSE()),0))</f>
        <v>8</v>
      </c>
      <c r="F13" s="27" t="n">
        <f aca="false">IF($A13="","",IFERROR(VLOOKUP(D13,Schichten!$A$5:$G$24,7,FALSE()),0))</f>
        <v>7</v>
      </c>
      <c r="G13" s="28" t="n">
        <f aca="false">IF($A13="","",IF(N(E13)=0,"",$A13+VLOOKUP(D13,Schichten!$A$5:$G$24,3,FALSE())))</f>
        <v>46396.9166666667</v>
      </c>
      <c r="H13" s="28" t="n">
        <f aca="false">IF(G13="","",$A13+VLOOKUP(D13,Schichten!$A$5:$G$24,4,FALSE())+IF(VLOOKUP(D13,Schichten!$A$5:$G$24,4,FALSE())&lt;=VLOOKUP(D13,Schichten!$A$5:$G$24,3,FALSE()),1,0))</f>
        <v>46397.25</v>
      </c>
      <c r="I13" s="28" t="n">
        <f aca="false">IF($A13="","",IF(N(E12)&gt;0,H12,I12))</f>
        <v>46396.25</v>
      </c>
      <c r="J13" s="27" t="n">
        <f aca="false">IF(OR(G13="",I13=""),"",(G13-I13)*24)</f>
        <v>16</v>
      </c>
      <c r="K13" s="21" t="n">
        <f aca="false">IF($A13="","",IF(N(E13)&gt;0,N(K12)+1,0))</f>
        <v>6</v>
      </c>
      <c r="L13" s="21" t="n">
        <f aca="false">IF($A13="","",IF(N(F13)&gt;0,N(L12)+1,0))</f>
        <v>2</v>
      </c>
      <c r="M13" s="21" t="str">
        <f aca="false">IF($A13="","",IF(WEEKDAY($A13,2)&lt;&gt;7,"",IF(AND(OR(G13="",N(G13)&gt;=$A13+16/24,N(H13)&lt;=$A13+6/24),OR(I13="",N(I13)&lt;=$A13+6/24)),1,0)))</f>
        <v/>
      </c>
      <c r="N13" s="26" t="str">
        <f aca="false">IF($A13="","",IF(INDEX(Muster!$C$7:$BF$7,1,MOD($A13-Einstellungen!$C$6,Einstellungen!$C$7)+1)="","-",INDEX(Muster!$C$7:$BF$7,1,MOD($A13-Einstellungen!$C$6,Einstellungen!$C$7)+1)))</f>
        <v>S</v>
      </c>
      <c r="O13" s="27" t="n">
        <f aca="false">IF($A13="","",IFERROR(VLOOKUP(N13,Schichten!$A$5:$G$24,6,FALSE()),0))</f>
        <v>8</v>
      </c>
      <c r="P13" s="27" t="n">
        <f aca="false">IF($A13="","",IFERROR(VLOOKUP(N13,Schichten!$A$5:$G$24,7,FALSE()),0))</f>
        <v>0</v>
      </c>
      <c r="Q13" s="28" t="n">
        <f aca="false">IF($A13="","",IF(N(O13)=0,"",$A13+VLOOKUP(N13,Schichten!$A$5:$G$24,3,FALSE())))</f>
        <v>46396.5833333333</v>
      </c>
      <c r="R13" s="28" t="n">
        <f aca="false">IF(Q13="","",$A13+VLOOKUP(N13,Schichten!$A$5:$G$24,4,FALSE())+IF(VLOOKUP(N13,Schichten!$A$5:$G$24,4,FALSE())&lt;=VLOOKUP(N13,Schichten!$A$5:$G$24,3,FALSE()),1,0))</f>
        <v>46396.9166666667</v>
      </c>
      <c r="S13" s="28" t="n">
        <f aca="false">IF($A13="","",IF(N(O12)&gt;0,R12,S12))</f>
        <v>46395.9166666667</v>
      </c>
      <c r="T13" s="27" t="n">
        <f aca="false">IF(OR(Q13="",S13=""),"",(Q13-S13)*24)</f>
        <v>16</v>
      </c>
      <c r="U13" s="21" t="n">
        <f aca="false">IF($A13="","",IF(N(O13)&gt;0,N(U12)+1,0))</f>
        <v>4</v>
      </c>
      <c r="V13" s="21" t="n">
        <f aca="false">IF($A13="","",IF(N(P13)&gt;0,N(V12)+1,0))</f>
        <v>0</v>
      </c>
      <c r="W13" s="21" t="str">
        <f aca="false">IF($A13="","",IF(WEEKDAY($A13,2)&lt;&gt;7,"",IF(AND(OR(Q13="",N(Q13)&gt;=$A13+16/24,N(R13)&lt;=$A13+6/24),OR(S13="",N(S13)&lt;=$A13+6/24)),1,0)))</f>
        <v/>
      </c>
      <c r="X13" s="26" t="str">
        <f aca="false">IF($A13="","",IF(INDEX(Muster!$C$8:$BF$8,1,MOD($A13-Einstellungen!$C$6,Einstellungen!$C$7)+1)="","-",INDEX(Muster!$C$8:$BF$8,1,MOD($A13-Einstellungen!$C$6,Einstellungen!$C$7)+1)))</f>
        <v>F</v>
      </c>
      <c r="Y13" s="27" t="n">
        <f aca="false">IF($A13="","",IFERROR(VLOOKUP(X13,Schichten!$A$5:$G$24,6,FALSE()),0))</f>
        <v>8</v>
      </c>
      <c r="Z13" s="27" t="n">
        <f aca="false">IF($A13="","",IFERROR(VLOOKUP(X13,Schichten!$A$5:$G$24,7,FALSE()),0))</f>
        <v>0</v>
      </c>
      <c r="AA13" s="28" t="n">
        <f aca="false">IF($A13="","",IF(N(Y13)=0,"",$A13+VLOOKUP(X13,Schichten!$A$5:$G$24,3,FALSE())))</f>
        <v>46396.25</v>
      </c>
      <c r="AB13" s="28" t="n">
        <f aca="false">IF(AA13="","",$A13+VLOOKUP(X13,Schichten!$A$5:$G$24,4,FALSE())+IF(VLOOKUP(X13,Schichten!$A$5:$G$24,4,FALSE())&lt;=VLOOKUP(X13,Schichten!$A$5:$G$24,3,FALSE()),1,0))</f>
        <v>46396.5833333333</v>
      </c>
      <c r="AC13" s="28" t="n">
        <f aca="false">IF($A13="","",IF(N(Y12)&gt;0,AB12,AC12))</f>
        <v>46395.5833333333</v>
      </c>
      <c r="AD13" s="27" t="n">
        <f aca="false">IF(OR(AA13="",AC13=""),"",(AA13-AC13)*24)</f>
        <v>16</v>
      </c>
      <c r="AE13" s="21" t="n">
        <f aca="false">IF($A13="","",IF(N(Y13)&gt;0,N(AE12)+1,0))</f>
        <v>2</v>
      </c>
      <c r="AF13" s="21" t="n">
        <f aca="false">IF($A13="","",IF(N(Z13)&gt;0,N(AF12)+1,0))</f>
        <v>0</v>
      </c>
      <c r="AG13" s="21" t="str">
        <f aca="false">IF($A13="","",IF(WEEKDAY($A13,2)&lt;&gt;7,"",IF(AND(OR(AA13="",N(AA13)&gt;=$A13+16/24,N(AB13)&lt;=$A13+6/24),OR(AC13="",N(AC13)&lt;=$A13+6/24)),1,0)))</f>
        <v/>
      </c>
      <c r="AH13" s="26" t="str">
        <f aca="false">IF($A13="","",IF(INDEX(Muster!$C$9:$BF$9,1,MOD($A13-Einstellungen!$C$6,Einstellungen!$C$7)+1)="","-",INDEX(Muster!$C$9:$BF$9,1,MOD($A13-Einstellungen!$C$6,Einstellungen!$C$7)+1)))</f>
        <v>-</v>
      </c>
      <c r="AI13" s="27" t="n">
        <f aca="false">IF($A13="","",IFERROR(VLOOKUP(AH13,Schichten!$A$5:$G$24,6,FALSE()),0))</f>
        <v>0</v>
      </c>
      <c r="AJ13" s="27" t="n">
        <f aca="false">IF($A13="","",IFERROR(VLOOKUP(AH13,Schichten!$A$5:$G$24,7,FALSE()),0))</f>
        <v>0</v>
      </c>
      <c r="AK13" s="28" t="str">
        <f aca="false">IF($A13="","",IF(N(AI13)=0,"",$A13+VLOOKUP(AH13,Schichten!$A$5:$G$24,3,FALSE())))</f>
        <v/>
      </c>
      <c r="AL13" s="28" t="str">
        <f aca="false">IF(AK13="","",$A13+VLOOKUP(AH13,Schichten!$A$5:$G$24,4,FALSE())+IF(VLOOKUP(AH13,Schichten!$A$5:$G$24,4,FALSE())&lt;=VLOOKUP(AH13,Schichten!$A$5:$G$24,3,FALSE()),1,0))</f>
        <v/>
      </c>
      <c r="AM13" s="28" t="n">
        <f aca="false">IF($A13="","",IF(N(AI12)&gt;0,AL12,AM12))</f>
        <v>46395.25</v>
      </c>
      <c r="AN13" s="27" t="str">
        <f aca="false">IF(OR(AK13="",AM13=""),"",(AK13-AM13)*24)</f>
        <v/>
      </c>
      <c r="AO13" s="21" t="n">
        <f aca="false">IF($A13="","",IF(N(AI13)&gt;0,N(AO12)+1,0))</f>
        <v>0</v>
      </c>
      <c r="AP13" s="21" t="n">
        <f aca="false">IF($A13="","",IF(N(AJ13)&gt;0,N(AP12)+1,0))</f>
        <v>0</v>
      </c>
      <c r="AQ13" s="21" t="str">
        <f aca="false">IF($A13="","",IF(WEEKDAY($A13,2)&lt;&gt;7,"",IF(AND(OR(AK13="",N(AK13)&gt;=$A13+16/24,N(AL13)&lt;=$A13+6/24),OR(AM13="",N(AM13)&lt;=$A13+6/24)),1,0)))</f>
        <v/>
      </c>
      <c r="AR13" s="26" t="str">
        <f aca="false">IF($A13="","",IF(INDEX(Muster!$C$10:$BF$10,1,MOD($A13-Einstellungen!$C$6,Einstellungen!$C$7)+1)="","-",INDEX(Muster!$C$10:$BF$10,1,MOD($A13-Einstellungen!$C$6,Einstellungen!$C$7)+1)))</f>
        <v>-</v>
      </c>
      <c r="AS13" s="27" t="n">
        <f aca="false">IF($A13="","",IFERROR(VLOOKUP(AR13,Schichten!$A$5:$G$24,6,FALSE()),0))</f>
        <v>0</v>
      </c>
      <c r="AT13" s="27" t="n">
        <f aca="false">IF($A13="","",IFERROR(VLOOKUP(AR13,Schichten!$A$5:$G$24,7,FALSE()),0))</f>
        <v>0</v>
      </c>
      <c r="AU13" s="28" t="str">
        <f aca="false">IF($A13="","",IF(N(AS13)=0,"",$A13+VLOOKUP(AR13,Schichten!$A$5:$G$24,3,FALSE())))</f>
        <v/>
      </c>
      <c r="AV13" s="28" t="str">
        <f aca="false">IF(AU13="","",$A13+VLOOKUP(AR13,Schichten!$A$5:$G$24,4,FALSE())+IF(VLOOKUP(AR13,Schichten!$A$5:$G$24,4,FALSE())&lt;=VLOOKUP(AR13,Schichten!$A$5:$G$24,3,FALSE()),1,0))</f>
        <v/>
      </c>
      <c r="AW13" s="28" t="str">
        <f aca="false">IF($A13="","",IF(N(AS12)&gt;0,AV12,AW12))</f>
        <v/>
      </c>
      <c r="AX13" s="27" t="str">
        <f aca="false">IF(OR(AU13="",AW13=""),"",(AU13-AW13)*24)</f>
        <v/>
      </c>
      <c r="AY13" s="21" t="n">
        <f aca="false">IF($A13="","",IF(N(AS13)&gt;0,N(AY12)+1,0))</f>
        <v>0</v>
      </c>
      <c r="AZ13" s="21" t="n">
        <f aca="false">IF($A13="","",IF(N(AT13)&gt;0,N(AZ12)+1,0))</f>
        <v>0</v>
      </c>
      <c r="BA13" s="21" t="str">
        <f aca="false">IF($A13="","",IF(WEEKDAY($A13,2)&lt;&gt;7,"",IF(AND(OR(AU13="",N(AU13)&gt;=$A13+16/24,N(AV13)&lt;=$A13+6/24),OR(AW13="",N(AW13)&lt;=$A13+6/24)),1,0)))</f>
        <v/>
      </c>
    </row>
    <row r="14" customFormat="false" ht="15" hidden="false" customHeight="false" outlineLevel="0" collapsed="false">
      <c r="A14" s="25" t="n">
        <f aca="false">IF(YEAR(DATE(Einstellungen!$C$4,1,1)+9)=Einstellungen!$C$4,DATE(Einstellungen!$C$4,1,1)+9,"")</f>
        <v>46397</v>
      </c>
      <c r="B14" s="26" t="str">
        <f aca="false">IF($A14="","",CHOOSE(WEEKDAY($A14,2),"Mo","Di","Mi","Do","Fr","Sa","So"))</f>
        <v>So</v>
      </c>
      <c r="C14" s="26" t="n">
        <f aca="false">IF($A14="","",MONTH($A14))</f>
        <v>1</v>
      </c>
      <c r="D14" s="26" t="str">
        <f aca="false">IF($A14="","",IF(INDEX(Muster!$C$6:$BF$6,1,MOD($A14-Einstellungen!$C$6,Einstellungen!$C$7)+1)="","-",INDEX(Muster!$C$6:$BF$6,1,MOD($A14-Einstellungen!$C$6,Einstellungen!$C$7)+1)))</f>
        <v>-</v>
      </c>
      <c r="E14" s="27" t="n">
        <f aca="false">IF($A14="","",IFERROR(VLOOKUP(D14,Schichten!$A$5:$G$24,6,FALSE()),0))</f>
        <v>0</v>
      </c>
      <c r="F14" s="27" t="n">
        <f aca="false">IF($A14="","",IFERROR(VLOOKUP(D14,Schichten!$A$5:$G$24,7,FALSE()),0))</f>
        <v>0</v>
      </c>
      <c r="G14" s="28" t="str">
        <f aca="false">IF($A14="","",IF(N(E14)=0,"",$A14+VLOOKUP(D14,Schichten!$A$5:$G$24,3,FALSE())))</f>
        <v/>
      </c>
      <c r="H14" s="28" t="str">
        <f aca="false">IF(G14="","",$A14+VLOOKUP(D14,Schichten!$A$5:$G$24,4,FALSE())+IF(VLOOKUP(D14,Schichten!$A$5:$G$24,4,FALSE())&lt;=VLOOKUP(D14,Schichten!$A$5:$G$24,3,FALSE()),1,0))</f>
        <v/>
      </c>
      <c r="I14" s="28" t="n">
        <f aca="false">IF($A14="","",IF(N(E13)&gt;0,H13,I13))</f>
        <v>46397.25</v>
      </c>
      <c r="J14" s="27" t="str">
        <f aca="false">IF(OR(G14="",I14=""),"",(G14-I14)*24)</f>
        <v/>
      </c>
      <c r="K14" s="21" t="n">
        <f aca="false">IF($A14="","",IF(N(E14)&gt;0,N(K13)+1,0))</f>
        <v>0</v>
      </c>
      <c r="L14" s="21" t="n">
        <f aca="false">IF($A14="","",IF(N(F14)&gt;0,N(L13)+1,0))</f>
        <v>0</v>
      </c>
      <c r="M14" s="21" t="n">
        <f aca="false">IF($A14="","",IF(WEEKDAY($A14,2)&lt;&gt;7,"",IF(AND(OR(G14="",N(G14)&gt;=$A14+16/24,N(H14)&lt;=$A14+6/24),OR(I14="",N(I14)&lt;=$A14+6/24)),1,0)))</f>
        <v>1</v>
      </c>
      <c r="N14" s="26" t="str">
        <f aca="false">IF($A14="","",IF(INDEX(Muster!$C$7:$BF$7,1,MOD($A14-Einstellungen!$C$6,Einstellungen!$C$7)+1)="","-",INDEX(Muster!$C$7:$BF$7,1,MOD($A14-Einstellungen!$C$6,Einstellungen!$C$7)+1)))</f>
        <v>N</v>
      </c>
      <c r="O14" s="27" t="n">
        <f aca="false">IF($A14="","",IFERROR(VLOOKUP(N14,Schichten!$A$5:$G$24,6,FALSE()),0))</f>
        <v>8</v>
      </c>
      <c r="P14" s="27" t="n">
        <f aca="false">IF($A14="","",IFERROR(VLOOKUP(N14,Schichten!$A$5:$G$24,7,FALSE()),0))</f>
        <v>7</v>
      </c>
      <c r="Q14" s="28" t="n">
        <f aca="false">IF($A14="","",IF(N(O14)=0,"",$A14+VLOOKUP(N14,Schichten!$A$5:$G$24,3,FALSE())))</f>
        <v>46397.9166666667</v>
      </c>
      <c r="R14" s="28" t="n">
        <f aca="false">IF(Q14="","",$A14+VLOOKUP(N14,Schichten!$A$5:$G$24,4,FALSE())+IF(VLOOKUP(N14,Schichten!$A$5:$G$24,4,FALSE())&lt;=VLOOKUP(N14,Schichten!$A$5:$G$24,3,FALSE()),1,0))</f>
        <v>46398.25</v>
      </c>
      <c r="S14" s="28" t="n">
        <f aca="false">IF($A14="","",IF(N(O13)&gt;0,R13,S13))</f>
        <v>46396.9166666667</v>
      </c>
      <c r="T14" s="27" t="n">
        <f aca="false">IF(OR(Q14="",S14=""),"",(Q14-S14)*24)</f>
        <v>24</v>
      </c>
      <c r="U14" s="21" t="n">
        <f aca="false">IF($A14="","",IF(N(O14)&gt;0,N(U13)+1,0))</f>
        <v>5</v>
      </c>
      <c r="V14" s="21" t="n">
        <f aca="false">IF($A14="","",IF(N(P14)&gt;0,N(V13)+1,0))</f>
        <v>1</v>
      </c>
      <c r="W14" s="21" t="n">
        <f aca="false">IF($A14="","",IF(WEEKDAY($A14,2)&lt;&gt;7,"",IF(AND(OR(Q14="",N(Q14)&gt;=$A14+16/24,N(R14)&lt;=$A14+6/24),OR(S14="",N(S14)&lt;=$A14+6/24)),1,0)))</f>
        <v>1</v>
      </c>
      <c r="X14" s="26" t="str">
        <f aca="false">IF($A14="","",IF(INDEX(Muster!$C$8:$BF$8,1,MOD($A14-Einstellungen!$C$6,Einstellungen!$C$7)+1)="","-",INDEX(Muster!$C$8:$BF$8,1,MOD($A14-Einstellungen!$C$6,Einstellungen!$C$7)+1)))</f>
        <v>S</v>
      </c>
      <c r="Y14" s="27" t="n">
        <f aca="false">IF($A14="","",IFERROR(VLOOKUP(X14,Schichten!$A$5:$G$24,6,FALSE()),0))</f>
        <v>8</v>
      </c>
      <c r="Z14" s="27" t="n">
        <f aca="false">IF($A14="","",IFERROR(VLOOKUP(X14,Schichten!$A$5:$G$24,7,FALSE()),0))</f>
        <v>0</v>
      </c>
      <c r="AA14" s="28" t="n">
        <f aca="false">IF($A14="","",IF(N(Y14)=0,"",$A14+VLOOKUP(X14,Schichten!$A$5:$G$24,3,FALSE())))</f>
        <v>46397.5833333333</v>
      </c>
      <c r="AB14" s="28" t="n">
        <f aca="false">IF(AA14="","",$A14+VLOOKUP(X14,Schichten!$A$5:$G$24,4,FALSE())+IF(VLOOKUP(X14,Schichten!$A$5:$G$24,4,FALSE())&lt;=VLOOKUP(X14,Schichten!$A$5:$G$24,3,FALSE()),1,0))</f>
        <v>46397.9166666667</v>
      </c>
      <c r="AC14" s="28" t="n">
        <f aca="false">IF($A14="","",IF(N(Y13)&gt;0,AB13,AC13))</f>
        <v>46396.5833333333</v>
      </c>
      <c r="AD14" s="27" t="n">
        <f aca="false">IF(OR(AA14="",AC14=""),"",(AA14-AC14)*24)</f>
        <v>24</v>
      </c>
      <c r="AE14" s="21" t="n">
        <f aca="false">IF($A14="","",IF(N(Y14)&gt;0,N(AE13)+1,0))</f>
        <v>3</v>
      </c>
      <c r="AF14" s="21" t="n">
        <f aca="false">IF($A14="","",IF(N(Z14)&gt;0,N(AF13)+1,0))</f>
        <v>0</v>
      </c>
      <c r="AG14" s="21" t="n">
        <f aca="false">IF($A14="","",IF(WEEKDAY($A14,2)&lt;&gt;7,"",IF(AND(OR(AA14="",N(AA14)&gt;=$A14+16/24,N(AB14)&lt;=$A14+6/24),OR(AC14="",N(AC14)&lt;=$A14+6/24)),1,0)))</f>
        <v>0</v>
      </c>
      <c r="AH14" s="26" t="str">
        <f aca="false">IF($A14="","",IF(INDEX(Muster!$C$9:$BF$9,1,MOD($A14-Einstellungen!$C$6,Einstellungen!$C$7)+1)="","-",INDEX(Muster!$C$9:$BF$9,1,MOD($A14-Einstellungen!$C$6,Einstellungen!$C$7)+1)))</f>
        <v>F</v>
      </c>
      <c r="AI14" s="27" t="n">
        <f aca="false">IF($A14="","",IFERROR(VLOOKUP(AH14,Schichten!$A$5:$G$24,6,FALSE()),0))</f>
        <v>8</v>
      </c>
      <c r="AJ14" s="27" t="n">
        <f aca="false">IF($A14="","",IFERROR(VLOOKUP(AH14,Schichten!$A$5:$G$24,7,FALSE()),0))</f>
        <v>0</v>
      </c>
      <c r="AK14" s="28" t="n">
        <f aca="false">IF($A14="","",IF(N(AI14)=0,"",$A14+VLOOKUP(AH14,Schichten!$A$5:$G$24,3,FALSE())))</f>
        <v>46397.25</v>
      </c>
      <c r="AL14" s="28" t="n">
        <f aca="false">IF(AK14="","",$A14+VLOOKUP(AH14,Schichten!$A$5:$G$24,4,FALSE())+IF(VLOOKUP(AH14,Schichten!$A$5:$G$24,4,FALSE())&lt;=VLOOKUP(AH14,Schichten!$A$5:$G$24,3,FALSE()),1,0))</f>
        <v>46397.5833333333</v>
      </c>
      <c r="AM14" s="28" t="n">
        <f aca="false">IF($A14="","",IF(N(AI13)&gt;0,AL13,AM13))</f>
        <v>46395.25</v>
      </c>
      <c r="AN14" s="27" t="n">
        <f aca="false">IF(OR(AK14="",AM14=""),"",(AK14-AM14)*24)</f>
        <v>48</v>
      </c>
      <c r="AO14" s="21" t="n">
        <f aca="false">IF($A14="","",IF(N(AI14)&gt;0,N(AO13)+1,0))</f>
        <v>1</v>
      </c>
      <c r="AP14" s="21" t="n">
        <f aca="false">IF($A14="","",IF(N(AJ14)&gt;0,N(AP13)+1,0))</f>
        <v>0</v>
      </c>
      <c r="AQ14" s="21" t="n">
        <f aca="false">IF($A14="","",IF(WEEKDAY($A14,2)&lt;&gt;7,"",IF(AND(OR(AK14="",N(AK14)&gt;=$A14+16/24,N(AL14)&lt;=$A14+6/24),OR(AM14="",N(AM14)&lt;=$A14+6/24)),1,0)))</f>
        <v>0</v>
      </c>
      <c r="AR14" s="26" t="str">
        <f aca="false">IF($A14="","",IF(INDEX(Muster!$C$10:$BF$10,1,MOD($A14-Einstellungen!$C$6,Einstellungen!$C$7)+1)="","-",INDEX(Muster!$C$10:$BF$10,1,MOD($A14-Einstellungen!$C$6,Einstellungen!$C$7)+1)))</f>
        <v>-</v>
      </c>
      <c r="AS14" s="27" t="n">
        <f aca="false">IF($A14="","",IFERROR(VLOOKUP(AR14,Schichten!$A$5:$G$24,6,FALSE()),0))</f>
        <v>0</v>
      </c>
      <c r="AT14" s="27" t="n">
        <f aca="false">IF($A14="","",IFERROR(VLOOKUP(AR14,Schichten!$A$5:$G$24,7,FALSE()),0))</f>
        <v>0</v>
      </c>
      <c r="AU14" s="28" t="str">
        <f aca="false">IF($A14="","",IF(N(AS14)=0,"",$A14+VLOOKUP(AR14,Schichten!$A$5:$G$24,3,FALSE())))</f>
        <v/>
      </c>
      <c r="AV14" s="28" t="str">
        <f aca="false">IF(AU14="","",$A14+VLOOKUP(AR14,Schichten!$A$5:$G$24,4,FALSE())+IF(VLOOKUP(AR14,Schichten!$A$5:$G$24,4,FALSE())&lt;=VLOOKUP(AR14,Schichten!$A$5:$G$24,3,FALSE()),1,0))</f>
        <v/>
      </c>
      <c r="AW14" s="28" t="str">
        <f aca="false">IF($A14="","",IF(N(AS13)&gt;0,AV13,AW13))</f>
        <v/>
      </c>
      <c r="AX14" s="27" t="str">
        <f aca="false">IF(OR(AU14="",AW14=""),"",(AU14-AW14)*24)</f>
        <v/>
      </c>
      <c r="AY14" s="21" t="n">
        <f aca="false">IF($A14="","",IF(N(AS14)&gt;0,N(AY13)+1,0))</f>
        <v>0</v>
      </c>
      <c r="AZ14" s="21" t="n">
        <f aca="false">IF($A14="","",IF(N(AT14)&gt;0,N(AZ13)+1,0))</f>
        <v>0</v>
      </c>
      <c r="BA14" s="21" t="n">
        <f aca="false">IF($A14="","",IF(WEEKDAY($A14,2)&lt;&gt;7,"",IF(AND(OR(AU14="",N(AU14)&gt;=$A14+16/24,N(AV14)&lt;=$A14+6/24),OR(AW14="",N(AW14)&lt;=$A14+6/24)),1,0)))</f>
        <v>1</v>
      </c>
    </row>
    <row r="15" customFormat="false" ht="15" hidden="false" customHeight="false" outlineLevel="0" collapsed="false">
      <c r="A15" s="25" t="n">
        <f aca="false">IF(YEAR(DATE(Einstellungen!$C$4,1,1)+10)=Einstellungen!$C$4,DATE(Einstellungen!$C$4,1,1)+10,"")</f>
        <v>46398</v>
      </c>
      <c r="B15" s="26" t="str">
        <f aca="false">IF($A15="","",CHOOSE(WEEKDAY($A15,2),"Mo","Di","Mi","Do","Fr","Sa","So"))</f>
        <v>Mo</v>
      </c>
      <c r="C15" s="26" t="n">
        <f aca="false">IF($A15="","",MONTH($A15))</f>
        <v>1</v>
      </c>
      <c r="D15" s="26" t="str">
        <f aca="false">IF($A15="","",IF(INDEX(Muster!$C$6:$BF$6,1,MOD($A15-Einstellungen!$C$6,Einstellungen!$C$7)+1)="","-",INDEX(Muster!$C$6:$BF$6,1,MOD($A15-Einstellungen!$C$6,Einstellungen!$C$7)+1)))</f>
        <v>-</v>
      </c>
      <c r="E15" s="27" t="n">
        <f aca="false">IF($A15="","",IFERROR(VLOOKUP(D15,Schichten!$A$5:$G$24,6,FALSE()),0))</f>
        <v>0</v>
      </c>
      <c r="F15" s="27" t="n">
        <f aca="false">IF($A15="","",IFERROR(VLOOKUP(D15,Schichten!$A$5:$G$24,7,FALSE()),0))</f>
        <v>0</v>
      </c>
      <c r="G15" s="28" t="str">
        <f aca="false">IF($A15="","",IF(N(E15)=0,"",$A15+VLOOKUP(D15,Schichten!$A$5:$G$24,3,FALSE())))</f>
        <v/>
      </c>
      <c r="H15" s="28" t="str">
        <f aca="false">IF(G15="","",$A15+VLOOKUP(D15,Schichten!$A$5:$G$24,4,FALSE())+IF(VLOOKUP(D15,Schichten!$A$5:$G$24,4,FALSE())&lt;=VLOOKUP(D15,Schichten!$A$5:$G$24,3,FALSE()),1,0))</f>
        <v/>
      </c>
      <c r="I15" s="28" t="n">
        <f aca="false">IF($A15="","",IF(N(E14)&gt;0,H14,I14))</f>
        <v>46397.25</v>
      </c>
      <c r="J15" s="27" t="str">
        <f aca="false">IF(OR(G15="",I15=""),"",(G15-I15)*24)</f>
        <v/>
      </c>
      <c r="K15" s="21" t="n">
        <f aca="false">IF($A15="","",IF(N(E15)&gt;0,N(K14)+1,0))</f>
        <v>0</v>
      </c>
      <c r="L15" s="21" t="n">
        <f aca="false">IF($A15="","",IF(N(F15)&gt;0,N(L14)+1,0))</f>
        <v>0</v>
      </c>
      <c r="M15" s="21" t="str">
        <f aca="false">IF($A15="","",IF(WEEKDAY($A15,2)&lt;&gt;7,"",IF(AND(OR(G15="",N(G15)&gt;=$A15+16/24,N(H15)&lt;=$A15+6/24),OR(I15="",N(I15)&lt;=$A15+6/24)),1,0)))</f>
        <v/>
      </c>
      <c r="N15" s="26" t="str">
        <f aca="false">IF($A15="","",IF(INDEX(Muster!$C$7:$BF$7,1,MOD($A15-Einstellungen!$C$6,Einstellungen!$C$7)+1)="","-",INDEX(Muster!$C$7:$BF$7,1,MOD($A15-Einstellungen!$C$6,Einstellungen!$C$7)+1)))</f>
        <v>N</v>
      </c>
      <c r="O15" s="27" t="n">
        <f aca="false">IF($A15="","",IFERROR(VLOOKUP(N15,Schichten!$A$5:$G$24,6,FALSE()),0))</f>
        <v>8</v>
      </c>
      <c r="P15" s="27" t="n">
        <f aca="false">IF($A15="","",IFERROR(VLOOKUP(N15,Schichten!$A$5:$G$24,7,FALSE()),0))</f>
        <v>7</v>
      </c>
      <c r="Q15" s="28" t="n">
        <f aca="false">IF($A15="","",IF(N(O15)=0,"",$A15+VLOOKUP(N15,Schichten!$A$5:$G$24,3,FALSE())))</f>
        <v>46398.9166666667</v>
      </c>
      <c r="R15" s="28" t="n">
        <f aca="false">IF(Q15="","",$A15+VLOOKUP(N15,Schichten!$A$5:$G$24,4,FALSE())+IF(VLOOKUP(N15,Schichten!$A$5:$G$24,4,FALSE())&lt;=VLOOKUP(N15,Schichten!$A$5:$G$24,3,FALSE()),1,0))</f>
        <v>46399.25</v>
      </c>
      <c r="S15" s="28" t="n">
        <f aca="false">IF($A15="","",IF(N(O14)&gt;0,R14,S14))</f>
        <v>46398.25</v>
      </c>
      <c r="T15" s="27" t="n">
        <f aca="false">IF(OR(Q15="",S15=""),"",(Q15-S15)*24)</f>
        <v>16</v>
      </c>
      <c r="U15" s="21" t="n">
        <f aca="false">IF($A15="","",IF(N(O15)&gt;0,N(U14)+1,0))</f>
        <v>6</v>
      </c>
      <c r="V15" s="21" t="n">
        <f aca="false">IF($A15="","",IF(N(P15)&gt;0,N(V14)+1,0))</f>
        <v>2</v>
      </c>
      <c r="W15" s="21" t="str">
        <f aca="false">IF($A15="","",IF(WEEKDAY($A15,2)&lt;&gt;7,"",IF(AND(OR(Q15="",N(Q15)&gt;=$A15+16/24,N(R15)&lt;=$A15+6/24),OR(S15="",N(S15)&lt;=$A15+6/24)),1,0)))</f>
        <v/>
      </c>
      <c r="X15" s="26" t="str">
        <f aca="false">IF($A15="","",IF(INDEX(Muster!$C$8:$BF$8,1,MOD($A15-Einstellungen!$C$6,Einstellungen!$C$7)+1)="","-",INDEX(Muster!$C$8:$BF$8,1,MOD($A15-Einstellungen!$C$6,Einstellungen!$C$7)+1)))</f>
        <v>S</v>
      </c>
      <c r="Y15" s="27" t="n">
        <f aca="false">IF($A15="","",IFERROR(VLOOKUP(X15,Schichten!$A$5:$G$24,6,FALSE()),0))</f>
        <v>8</v>
      </c>
      <c r="Z15" s="27" t="n">
        <f aca="false">IF($A15="","",IFERROR(VLOOKUP(X15,Schichten!$A$5:$G$24,7,FALSE()),0))</f>
        <v>0</v>
      </c>
      <c r="AA15" s="28" t="n">
        <f aca="false">IF($A15="","",IF(N(Y15)=0,"",$A15+VLOOKUP(X15,Schichten!$A$5:$G$24,3,FALSE())))</f>
        <v>46398.5833333333</v>
      </c>
      <c r="AB15" s="28" t="n">
        <f aca="false">IF(AA15="","",$A15+VLOOKUP(X15,Schichten!$A$5:$G$24,4,FALSE())+IF(VLOOKUP(X15,Schichten!$A$5:$G$24,4,FALSE())&lt;=VLOOKUP(X15,Schichten!$A$5:$G$24,3,FALSE()),1,0))</f>
        <v>46398.9166666667</v>
      </c>
      <c r="AC15" s="28" t="n">
        <f aca="false">IF($A15="","",IF(N(Y14)&gt;0,AB14,AC14))</f>
        <v>46397.9166666667</v>
      </c>
      <c r="AD15" s="27" t="n">
        <f aca="false">IF(OR(AA15="",AC15=""),"",(AA15-AC15)*24)</f>
        <v>16</v>
      </c>
      <c r="AE15" s="21" t="n">
        <f aca="false">IF($A15="","",IF(N(Y15)&gt;0,N(AE14)+1,0))</f>
        <v>4</v>
      </c>
      <c r="AF15" s="21" t="n">
        <f aca="false">IF($A15="","",IF(N(Z15)&gt;0,N(AF14)+1,0))</f>
        <v>0</v>
      </c>
      <c r="AG15" s="21" t="str">
        <f aca="false">IF($A15="","",IF(WEEKDAY($A15,2)&lt;&gt;7,"",IF(AND(OR(AA15="",N(AA15)&gt;=$A15+16/24,N(AB15)&lt;=$A15+6/24),OR(AC15="",N(AC15)&lt;=$A15+6/24)),1,0)))</f>
        <v/>
      </c>
      <c r="AH15" s="26" t="str">
        <f aca="false">IF($A15="","",IF(INDEX(Muster!$C$9:$BF$9,1,MOD($A15-Einstellungen!$C$6,Einstellungen!$C$7)+1)="","-",INDEX(Muster!$C$9:$BF$9,1,MOD($A15-Einstellungen!$C$6,Einstellungen!$C$7)+1)))</f>
        <v>F</v>
      </c>
      <c r="AI15" s="27" t="n">
        <f aca="false">IF($A15="","",IFERROR(VLOOKUP(AH15,Schichten!$A$5:$G$24,6,FALSE()),0))</f>
        <v>8</v>
      </c>
      <c r="AJ15" s="27" t="n">
        <f aca="false">IF($A15="","",IFERROR(VLOOKUP(AH15,Schichten!$A$5:$G$24,7,FALSE()),0))</f>
        <v>0</v>
      </c>
      <c r="AK15" s="28" t="n">
        <f aca="false">IF($A15="","",IF(N(AI15)=0,"",$A15+VLOOKUP(AH15,Schichten!$A$5:$G$24,3,FALSE())))</f>
        <v>46398.25</v>
      </c>
      <c r="AL15" s="28" t="n">
        <f aca="false">IF(AK15="","",$A15+VLOOKUP(AH15,Schichten!$A$5:$G$24,4,FALSE())+IF(VLOOKUP(AH15,Schichten!$A$5:$G$24,4,FALSE())&lt;=VLOOKUP(AH15,Schichten!$A$5:$G$24,3,FALSE()),1,0))</f>
        <v>46398.5833333333</v>
      </c>
      <c r="AM15" s="28" t="n">
        <f aca="false">IF($A15="","",IF(N(AI14)&gt;0,AL14,AM14))</f>
        <v>46397.5833333333</v>
      </c>
      <c r="AN15" s="27" t="n">
        <f aca="false">IF(OR(AK15="",AM15=""),"",(AK15-AM15)*24)</f>
        <v>16</v>
      </c>
      <c r="AO15" s="21" t="n">
        <f aca="false">IF($A15="","",IF(N(AI15)&gt;0,N(AO14)+1,0))</f>
        <v>2</v>
      </c>
      <c r="AP15" s="21" t="n">
        <f aca="false">IF($A15="","",IF(N(AJ15)&gt;0,N(AP14)+1,0))</f>
        <v>0</v>
      </c>
      <c r="AQ15" s="21" t="str">
        <f aca="false">IF($A15="","",IF(WEEKDAY($A15,2)&lt;&gt;7,"",IF(AND(OR(AK15="",N(AK15)&gt;=$A15+16/24,N(AL15)&lt;=$A15+6/24),OR(AM15="",N(AM15)&lt;=$A15+6/24)),1,0)))</f>
        <v/>
      </c>
      <c r="AR15" s="26" t="str">
        <f aca="false">IF($A15="","",IF(INDEX(Muster!$C$10:$BF$10,1,MOD($A15-Einstellungen!$C$6,Einstellungen!$C$7)+1)="","-",INDEX(Muster!$C$10:$BF$10,1,MOD($A15-Einstellungen!$C$6,Einstellungen!$C$7)+1)))</f>
        <v>-</v>
      </c>
      <c r="AS15" s="27" t="n">
        <f aca="false">IF($A15="","",IFERROR(VLOOKUP(AR15,Schichten!$A$5:$G$24,6,FALSE()),0))</f>
        <v>0</v>
      </c>
      <c r="AT15" s="27" t="n">
        <f aca="false">IF($A15="","",IFERROR(VLOOKUP(AR15,Schichten!$A$5:$G$24,7,FALSE()),0))</f>
        <v>0</v>
      </c>
      <c r="AU15" s="28" t="str">
        <f aca="false">IF($A15="","",IF(N(AS15)=0,"",$A15+VLOOKUP(AR15,Schichten!$A$5:$G$24,3,FALSE())))</f>
        <v/>
      </c>
      <c r="AV15" s="28" t="str">
        <f aca="false">IF(AU15="","",$A15+VLOOKUP(AR15,Schichten!$A$5:$G$24,4,FALSE())+IF(VLOOKUP(AR15,Schichten!$A$5:$G$24,4,FALSE())&lt;=VLOOKUP(AR15,Schichten!$A$5:$G$24,3,FALSE()),1,0))</f>
        <v/>
      </c>
      <c r="AW15" s="28" t="str">
        <f aca="false">IF($A15="","",IF(N(AS14)&gt;0,AV14,AW14))</f>
        <v/>
      </c>
      <c r="AX15" s="27" t="str">
        <f aca="false">IF(OR(AU15="",AW15=""),"",(AU15-AW15)*24)</f>
        <v/>
      </c>
      <c r="AY15" s="21" t="n">
        <f aca="false">IF($A15="","",IF(N(AS15)&gt;0,N(AY14)+1,0))</f>
        <v>0</v>
      </c>
      <c r="AZ15" s="21" t="n">
        <f aca="false">IF($A15="","",IF(N(AT15)&gt;0,N(AZ14)+1,0))</f>
        <v>0</v>
      </c>
      <c r="BA15" s="21" t="str">
        <f aca="false">IF($A15="","",IF(WEEKDAY($A15,2)&lt;&gt;7,"",IF(AND(OR(AU15="",N(AU15)&gt;=$A15+16/24,N(AV15)&lt;=$A15+6/24),OR(AW15="",N(AW15)&lt;=$A15+6/24)),1,0)))</f>
        <v/>
      </c>
    </row>
    <row r="16" customFormat="false" ht="15" hidden="false" customHeight="false" outlineLevel="0" collapsed="false">
      <c r="A16" s="25" t="n">
        <f aca="false">IF(YEAR(DATE(Einstellungen!$C$4,1,1)+11)=Einstellungen!$C$4,DATE(Einstellungen!$C$4,1,1)+11,"")</f>
        <v>46399</v>
      </c>
      <c r="B16" s="26" t="str">
        <f aca="false">IF($A16="","",CHOOSE(WEEKDAY($A16,2),"Mo","Di","Mi","Do","Fr","Sa","So"))</f>
        <v>Di</v>
      </c>
      <c r="C16" s="26" t="n">
        <f aca="false">IF($A16="","",MONTH($A16))</f>
        <v>1</v>
      </c>
      <c r="D16" s="26" t="str">
        <f aca="false">IF($A16="","",IF(INDEX(Muster!$C$6:$BF$6,1,MOD($A16-Einstellungen!$C$6,Einstellungen!$C$7)+1)="","-",INDEX(Muster!$C$6:$BF$6,1,MOD($A16-Einstellungen!$C$6,Einstellungen!$C$7)+1)))</f>
        <v>F</v>
      </c>
      <c r="E16" s="27" t="n">
        <f aca="false">IF($A16="","",IFERROR(VLOOKUP(D16,Schichten!$A$5:$G$24,6,FALSE()),0))</f>
        <v>8</v>
      </c>
      <c r="F16" s="27" t="n">
        <f aca="false">IF($A16="","",IFERROR(VLOOKUP(D16,Schichten!$A$5:$G$24,7,FALSE()),0))</f>
        <v>0</v>
      </c>
      <c r="G16" s="28" t="n">
        <f aca="false">IF($A16="","",IF(N(E16)=0,"",$A16+VLOOKUP(D16,Schichten!$A$5:$G$24,3,FALSE())))</f>
        <v>46399.25</v>
      </c>
      <c r="H16" s="28" t="n">
        <f aca="false">IF(G16="","",$A16+VLOOKUP(D16,Schichten!$A$5:$G$24,4,FALSE())+IF(VLOOKUP(D16,Schichten!$A$5:$G$24,4,FALSE())&lt;=VLOOKUP(D16,Schichten!$A$5:$G$24,3,FALSE()),1,0))</f>
        <v>46399.5833333333</v>
      </c>
      <c r="I16" s="28" t="n">
        <f aca="false">IF($A16="","",IF(N(E15)&gt;0,H15,I15))</f>
        <v>46397.25</v>
      </c>
      <c r="J16" s="27" t="n">
        <f aca="false">IF(OR(G16="",I16=""),"",(G16-I16)*24)</f>
        <v>48</v>
      </c>
      <c r="K16" s="21" t="n">
        <f aca="false">IF($A16="","",IF(N(E16)&gt;0,N(K15)+1,0))</f>
        <v>1</v>
      </c>
      <c r="L16" s="21" t="n">
        <f aca="false">IF($A16="","",IF(N(F16)&gt;0,N(L15)+1,0))</f>
        <v>0</v>
      </c>
      <c r="M16" s="21" t="str">
        <f aca="false">IF($A16="","",IF(WEEKDAY($A16,2)&lt;&gt;7,"",IF(AND(OR(G16="",N(G16)&gt;=$A16+16/24,N(H16)&lt;=$A16+6/24),OR(I16="",N(I16)&lt;=$A16+6/24)),1,0)))</f>
        <v/>
      </c>
      <c r="N16" s="26" t="str">
        <f aca="false">IF($A16="","",IF(INDEX(Muster!$C$7:$BF$7,1,MOD($A16-Einstellungen!$C$6,Einstellungen!$C$7)+1)="","-",INDEX(Muster!$C$7:$BF$7,1,MOD($A16-Einstellungen!$C$6,Einstellungen!$C$7)+1)))</f>
        <v>-</v>
      </c>
      <c r="O16" s="27" t="n">
        <f aca="false">IF($A16="","",IFERROR(VLOOKUP(N16,Schichten!$A$5:$G$24,6,FALSE()),0))</f>
        <v>0</v>
      </c>
      <c r="P16" s="27" t="n">
        <f aca="false">IF($A16="","",IFERROR(VLOOKUP(N16,Schichten!$A$5:$G$24,7,FALSE()),0))</f>
        <v>0</v>
      </c>
      <c r="Q16" s="28" t="str">
        <f aca="false">IF($A16="","",IF(N(O16)=0,"",$A16+VLOOKUP(N16,Schichten!$A$5:$G$24,3,FALSE())))</f>
        <v/>
      </c>
      <c r="R16" s="28" t="str">
        <f aca="false">IF(Q16="","",$A16+VLOOKUP(N16,Schichten!$A$5:$G$24,4,FALSE())+IF(VLOOKUP(N16,Schichten!$A$5:$G$24,4,FALSE())&lt;=VLOOKUP(N16,Schichten!$A$5:$G$24,3,FALSE()),1,0))</f>
        <v/>
      </c>
      <c r="S16" s="28" t="n">
        <f aca="false">IF($A16="","",IF(N(O15)&gt;0,R15,S15))</f>
        <v>46399.25</v>
      </c>
      <c r="T16" s="27" t="str">
        <f aca="false">IF(OR(Q16="",S16=""),"",(Q16-S16)*24)</f>
        <v/>
      </c>
      <c r="U16" s="21" t="n">
        <f aca="false">IF($A16="","",IF(N(O16)&gt;0,N(U15)+1,0))</f>
        <v>0</v>
      </c>
      <c r="V16" s="21" t="n">
        <f aca="false">IF($A16="","",IF(N(P16)&gt;0,N(V15)+1,0))</f>
        <v>0</v>
      </c>
      <c r="W16" s="21" t="str">
        <f aca="false">IF($A16="","",IF(WEEKDAY($A16,2)&lt;&gt;7,"",IF(AND(OR(Q16="",N(Q16)&gt;=$A16+16/24,N(R16)&lt;=$A16+6/24),OR(S16="",N(S16)&lt;=$A16+6/24)),1,0)))</f>
        <v/>
      </c>
      <c r="X16" s="26" t="str">
        <f aca="false">IF($A16="","",IF(INDEX(Muster!$C$8:$BF$8,1,MOD($A16-Einstellungen!$C$6,Einstellungen!$C$7)+1)="","-",INDEX(Muster!$C$8:$BF$8,1,MOD($A16-Einstellungen!$C$6,Einstellungen!$C$7)+1)))</f>
        <v>N</v>
      </c>
      <c r="Y16" s="27" t="n">
        <f aca="false">IF($A16="","",IFERROR(VLOOKUP(X16,Schichten!$A$5:$G$24,6,FALSE()),0))</f>
        <v>8</v>
      </c>
      <c r="Z16" s="27" t="n">
        <f aca="false">IF($A16="","",IFERROR(VLOOKUP(X16,Schichten!$A$5:$G$24,7,FALSE()),0))</f>
        <v>7</v>
      </c>
      <c r="AA16" s="28" t="n">
        <f aca="false">IF($A16="","",IF(N(Y16)=0,"",$A16+VLOOKUP(X16,Schichten!$A$5:$G$24,3,FALSE())))</f>
        <v>46399.9166666667</v>
      </c>
      <c r="AB16" s="28" t="n">
        <f aca="false">IF(AA16="","",$A16+VLOOKUP(X16,Schichten!$A$5:$G$24,4,FALSE())+IF(VLOOKUP(X16,Schichten!$A$5:$G$24,4,FALSE())&lt;=VLOOKUP(X16,Schichten!$A$5:$G$24,3,FALSE()),1,0))</f>
        <v>46400.25</v>
      </c>
      <c r="AC16" s="28" t="n">
        <f aca="false">IF($A16="","",IF(N(Y15)&gt;0,AB15,AC15))</f>
        <v>46398.9166666667</v>
      </c>
      <c r="AD16" s="27" t="n">
        <f aca="false">IF(OR(AA16="",AC16=""),"",(AA16-AC16)*24)</f>
        <v>24</v>
      </c>
      <c r="AE16" s="21" t="n">
        <f aca="false">IF($A16="","",IF(N(Y16)&gt;0,N(AE15)+1,0))</f>
        <v>5</v>
      </c>
      <c r="AF16" s="21" t="n">
        <f aca="false">IF($A16="","",IF(N(Z16)&gt;0,N(AF15)+1,0))</f>
        <v>1</v>
      </c>
      <c r="AG16" s="21" t="str">
        <f aca="false">IF($A16="","",IF(WEEKDAY($A16,2)&lt;&gt;7,"",IF(AND(OR(AA16="",N(AA16)&gt;=$A16+16/24,N(AB16)&lt;=$A16+6/24),OR(AC16="",N(AC16)&lt;=$A16+6/24)),1,0)))</f>
        <v/>
      </c>
      <c r="AH16" s="26" t="str">
        <f aca="false">IF($A16="","",IF(INDEX(Muster!$C$9:$BF$9,1,MOD($A16-Einstellungen!$C$6,Einstellungen!$C$7)+1)="","-",INDEX(Muster!$C$9:$BF$9,1,MOD($A16-Einstellungen!$C$6,Einstellungen!$C$7)+1)))</f>
        <v>S</v>
      </c>
      <c r="AI16" s="27" t="n">
        <f aca="false">IF($A16="","",IFERROR(VLOOKUP(AH16,Schichten!$A$5:$G$24,6,FALSE()),0))</f>
        <v>8</v>
      </c>
      <c r="AJ16" s="27" t="n">
        <f aca="false">IF($A16="","",IFERROR(VLOOKUP(AH16,Schichten!$A$5:$G$24,7,FALSE()),0))</f>
        <v>0</v>
      </c>
      <c r="AK16" s="28" t="n">
        <f aca="false">IF($A16="","",IF(N(AI16)=0,"",$A16+VLOOKUP(AH16,Schichten!$A$5:$G$24,3,FALSE())))</f>
        <v>46399.5833333333</v>
      </c>
      <c r="AL16" s="28" t="n">
        <f aca="false">IF(AK16="","",$A16+VLOOKUP(AH16,Schichten!$A$5:$G$24,4,FALSE())+IF(VLOOKUP(AH16,Schichten!$A$5:$G$24,4,FALSE())&lt;=VLOOKUP(AH16,Schichten!$A$5:$G$24,3,FALSE()),1,0))</f>
        <v>46399.9166666667</v>
      </c>
      <c r="AM16" s="28" t="n">
        <f aca="false">IF($A16="","",IF(N(AI15)&gt;0,AL15,AM15))</f>
        <v>46398.5833333333</v>
      </c>
      <c r="AN16" s="27" t="n">
        <f aca="false">IF(OR(AK16="",AM16=""),"",(AK16-AM16)*24)</f>
        <v>24</v>
      </c>
      <c r="AO16" s="21" t="n">
        <f aca="false">IF($A16="","",IF(N(AI16)&gt;0,N(AO15)+1,0))</f>
        <v>3</v>
      </c>
      <c r="AP16" s="21" t="n">
        <f aca="false">IF($A16="","",IF(N(AJ16)&gt;0,N(AP15)+1,0))</f>
        <v>0</v>
      </c>
      <c r="AQ16" s="21" t="str">
        <f aca="false">IF($A16="","",IF(WEEKDAY($A16,2)&lt;&gt;7,"",IF(AND(OR(AK16="",N(AK16)&gt;=$A16+16/24,N(AL16)&lt;=$A16+6/24),OR(AM16="",N(AM16)&lt;=$A16+6/24)),1,0)))</f>
        <v/>
      </c>
      <c r="AR16" s="26" t="str">
        <f aca="false">IF($A16="","",IF(INDEX(Muster!$C$10:$BF$10,1,MOD($A16-Einstellungen!$C$6,Einstellungen!$C$7)+1)="","-",INDEX(Muster!$C$10:$BF$10,1,MOD($A16-Einstellungen!$C$6,Einstellungen!$C$7)+1)))</f>
        <v>-</v>
      </c>
      <c r="AS16" s="27" t="n">
        <f aca="false">IF($A16="","",IFERROR(VLOOKUP(AR16,Schichten!$A$5:$G$24,6,FALSE()),0))</f>
        <v>0</v>
      </c>
      <c r="AT16" s="27" t="n">
        <f aca="false">IF($A16="","",IFERROR(VLOOKUP(AR16,Schichten!$A$5:$G$24,7,FALSE()),0))</f>
        <v>0</v>
      </c>
      <c r="AU16" s="28" t="str">
        <f aca="false">IF($A16="","",IF(N(AS16)=0,"",$A16+VLOOKUP(AR16,Schichten!$A$5:$G$24,3,FALSE())))</f>
        <v/>
      </c>
      <c r="AV16" s="28" t="str">
        <f aca="false">IF(AU16="","",$A16+VLOOKUP(AR16,Schichten!$A$5:$G$24,4,FALSE())+IF(VLOOKUP(AR16,Schichten!$A$5:$G$24,4,FALSE())&lt;=VLOOKUP(AR16,Schichten!$A$5:$G$24,3,FALSE()),1,0))</f>
        <v/>
      </c>
      <c r="AW16" s="28" t="str">
        <f aca="false">IF($A16="","",IF(N(AS15)&gt;0,AV15,AW15))</f>
        <v/>
      </c>
      <c r="AX16" s="27" t="str">
        <f aca="false">IF(OR(AU16="",AW16=""),"",(AU16-AW16)*24)</f>
        <v/>
      </c>
      <c r="AY16" s="21" t="n">
        <f aca="false">IF($A16="","",IF(N(AS16)&gt;0,N(AY15)+1,0))</f>
        <v>0</v>
      </c>
      <c r="AZ16" s="21" t="n">
        <f aca="false">IF($A16="","",IF(N(AT16)&gt;0,N(AZ15)+1,0))</f>
        <v>0</v>
      </c>
      <c r="BA16" s="21" t="str">
        <f aca="false">IF($A16="","",IF(WEEKDAY($A16,2)&lt;&gt;7,"",IF(AND(OR(AU16="",N(AU16)&gt;=$A16+16/24,N(AV16)&lt;=$A16+6/24),OR(AW16="",N(AW16)&lt;=$A16+6/24)),1,0)))</f>
        <v/>
      </c>
    </row>
    <row r="17" customFormat="false" ht="15" hidden="false" customHeight="false" outlineLevel="0" collapsed="false">
      <c r="A17" s="25" t="n">
        <f aca="false">IF(YEAR(DATE(Einstellungen!$C$4,1,1)+12)=Einstellungen!$C$4,DATE(Einstellungen!$C$4,1,1)+12,"")</f>
        <v>46400</v>
      </c>
      <c r="B17" s="26" t="str">
        <f aca="false">IF($A17="","",CHOOSE(WEEKDAY($A17,2),"Mo","Di","Mi","Do","Fr","Sa","So"))</f>
        <v>Mi</v>
      </c>
      <c r="C17" s="26" t="n">
        <f aca="false">IF($A17="","",MONTH($A17))</f>
        <v>1</v>
      </c>
      <c r="D17" s="26" t="str">
        <f aca="false">IF($A17="","",IF(INDEX(Muster!$C$6:$BF$6,1,MOD($A17-Einstellungen!$C$6,Einstellungen!$C$7)+1)="","-",INDEX(Muster!$C$6:$BF$6,1,MOD($A17-Einstellungen!$C$6,Einstellungen!$C$7)+1)))</f>
        <v>F</v>
      </c>
      <c r="E17" s="27" t="n">
        <f aca="false">IF($A17="","",IFERROR(VLOOKUP(D17,Schichten!$A$5:$G$24,6,FALSE()),0))</f>
        <v>8</v>
      </c>
      <c r="F17" s="27" t="n">
        <f aca="false">IF($A17="","",IFERROR(VLOOKUP(D17,Schichten!$A$5:$G$24,7,FALSE()),0))</f>
        <v>0</v>
      </c>
      <c r="G17" s="28" t="n">
        <f aca="false">IF($A17="","",IF(N(E17)=0,"",$A17+VLOOKUP(D17,Schichten!$A$5:$G$24,3,FALSE())))</f>
        <v>46400.25</v>
      </c>
      <c r="H17" s="28" t="n">
        <f aca="false">IF(G17="","",$A17+VLOOKUP(D17,Schichten!$A$5:$G$24,4,FALSE())+IF(VLOOKUP(D17,Schichten!$A$5:$G$24,4,FALSE())&lt;=VLOOKUP(D17,Schichten!$A$5:$G$24,3,FALSE()),1,0))</f>
        <v>46400.5833333333</v>
      </c>
      <c r="I17" s="28" t="n">
        <f aca="false">IF($A17="","",IF(N(E16)&gt;0,H16,I16))</f>
        <v>46399.5833333333</v>
      </c>
      <c r="J17" s="27" t="n">
        <f aca="false">IF(OR(G17="",I17=""),"",(G17-I17)*24)</f>
        <v>16</v>
      </c>
      <c r="K17" s="21" t="n">
        <f aca="false">IF($A17="","",IF(N(E17)&gt;0,N(K16)+1,0))</f>
        <v>2</v>
      </c>
      <c r="L17" s="21" t="n">
        <f aca="false">IF($A17="","",IF(N(F17)&gt;0,N(L16)+1,0))</f>
        <v>0</v>
      </c>
      <c r="M17" s="21" t="str">
        <f aca="false">IF($A17="","",IF(WEEKDAY($A17,2)&lt;&gt;7,"",IF(AND(OR(G17="",N(G17)&gt;=$A17+16/24,N(H17)&lt;=$A17+6/24),OR(I17="",N(I17)&lt;=$A17+6/24)),1,0)))</f>
        <v/>
      </c>
      <c r="N17" s="26" t="str">
        <f aca="false">IF($A17="","",IF(INDEX(Muster!$C$7:$BF$7,1,MOD($A17-Einstellungen!$C$6,Einstellungen!$C$7)+1)="","-",INDEX(Muster!$C$7:$BF$7,1,MOD($A17-Einstellungen!$C$6,Einstellungen!$C$7)+1)))</f>
        <v>-</v>
      </c>
      <c r="O17" s="27" t="n">
        <f aca="false">IF($A17="","",IFERROR(VLOOKUP(N17,Schichten!$A$5:$G$24,6,FALSE()),0))</f>
        <v>0</v>
      </c>
      <c r="P17" s="27" t="n">
        <f aca="false">IF($A17="","",IFERROR(VLOOKUP(N17,Schichten!$A$5:$G$24,7,FALSE()),0))</f>
        <v>0</v>
      </c>
      <c r="Q17" s="28" t="str">
        <f aca="false">IF($A17="","",IF(N(O17)=0,"",$A17+VLOOKUP(N17,Schichten!$A$5:$G$24,3,FALSE())))</f>
        <v/>
      </c>
      <c r="R17" s="28" t="str">
        <f aca="false">IF(Q17="","",$A17+VLOOKUP(N17,Schichten!$A$5:$G$24,4,FALSE())+IF(VLOOKUP(N17,Schichten!$A$5:$G$24,4,FALSE())&lt;=VLOOKUP(N17,Schichten!$A$5:$G$24,3,FALSE()),1,0))</f>
        <v/>
      </c>
      <c r="S17" s="28" t="n">
        <f aca="false">IF($A17="","",IF(N(O16)&gt;0,R16,S16))</f>
        <v>46399.25</v>
      </c>
      <c r="T17" s="27" t="str">
        <f aca="false">IF(OR(Q17="",S17=""),"",(Q17-S17)*24)</f>
        <v/>
      </c>
      <c r="U17" s="21" t="n">
        <f aca="false">IF($A17="","",IF(N(O17)&gt;0,N(U16)+1,0))</f>
        <v>0</v>
      </c>
      <c r="V17" s="21" t="n">
        <f aca="false">IF($A17="","",IF(N(P17)&gt;0,N(V16)+1,0))</f>
        <v>0</v>
      </c>
      <c r="W17" s="21" t="str">
        <f aca="false">IF($A17="","",IF(WEEKDAY($A17,2)&lt;&gt;7,"",IF(AND(OR(Q17="",N(Q17)&gt;=$A17+16/24,N(R17)&lt;=$A17+6/24),OR(S17="",N(S17)&lt;=$A17+6/24)),1,0)))</f>
        <v/>
      </c>
      <c r="X17" s="26" t="str">
        <f aca="false">IF($A17="","",IF(INDEX(Muster!$C$8:$BF$8,1,MOD($A17-Einstellungen!$C$6,Einstellungen!$C$7)+1)="","-",INDEX(Muster!$C$8:$BF$8,1,MOD($A17-Einstellungen!$C$6,Einstellungen!$C$7)+1)))</f>
        <v>N</v>
      </c>
      <c r="Y17" s="27" t="n">
        <f aca="false">IF($A17="","",IFERROR(VLOOKUP(X17,Schichten!$A$5:$G$24,6,FALSE()),0))</f>
        <v>8</v>
      </c>
      <c r="Z17" s="27" t="n">
        <f aca="false">IF($A17="","",IFERROR(VLOOKUP(X17,Schichten!$A$5:$G$24,7,FALSE()),0))</f>
        <v>7</v>
      </c>
      <c r="AA17" s="28" t="n">
        <f aca="false">IF($A17="","",IF(N(Y17)=0,"",$A17+VLOOKUP(X17,Schichten!$A$5:$G$24,3,FALSE())))</f>
        <v>46400.9166666667</v>
      </c>
      <c r="AB17" s="28" t="n">
        <f aca="false">IF(AA17="","",$A17+VLOOKUP(X17,Schichten!$A$5:$G$24,4,FALSE())+IF(VLOOKUP(X17,Schichten!$A$5:$G$24,4,FALSE())&lt;=VLOOKUP(X17,Schichten!$A$5:$G$24,3,FALSE()),1,0))</f>
        <v>46401.25</v>
      </c>
      <c r="AC17" s="28" t="n">
        <f aca="false">IF($A17="","",IF(N(Y16)&gt;0,AB16,AC16))</f>
        <v>46400.25</v>
      </c>
      <c r="AD17" s="27" t="n">
        <f aca="false">IF(OR(AA17="",AC17=""),"",(AA17-AC17)*24)</f>
        <v>16</v>
      </c>
      <c r="AE17" s="21" t="n">
        <f aca="false">IF($A17="","",IF(N(Y17)&gt;0,N(AE16)+1,0))</f>
        <v>6</v>
      </c>
      <c r="AF17" s="21" t="n">
        <f aca="false">IF($A17="","",IF(N(Z17)&gt;0,N(AF16)+1,0))</f>
        <v>2</v>
      </c>
      <c r="AG17" s="21" t="str">
        <f aca="false">IF($A17="","",IF(WEEKDAY($A17,2)&lt;&gt;7,"",IF(AND(OR(AA17="",N(AA17)&gt;=$A17+16/24,N(AB17)&lt;=$A17+6/24),OR(AC17="",N(AC17)&lt;=$A17+6/24)),1,0)))</f>
        <v/>
      </c>
      <c r="AH17" s="26" t="str">
        <f aca="false">IF($A17="","",IF(INDEX(Muster!$C$9:$BF$9,1,MOD($A17-Einstellungen!$C$6,Einstellungen!$C$7)+1)="","-",INDEX(Muster!$C$9:$BF$9,1,MOD($A17-Einstellungen!$C$6,Einstellungen!$C$7)+1)))</f>
        <v>S</v>
      </c>
      <c r="AI17" s="27" t="n">
        <f aca="false">IF($A17="","",IFERROR(VLOOKUP(AH17,Schichten!$A$5:$G$24,6,FALSE()),0))</f>
        <v>8</v>
      </c>
      <c r="AJ17" s="27" t="n">
        <f aca="false">IF($A17="","",IFERROR(VLOOKUP(AH17,Schichten!$A$5:$G$24,7,FALSE()),0))</f>
        <v>0</v>
      </c>
      <c r="AK17" s="28" t="n">
        <f aca="false">IF($A17="","",IF(N(AI17)=0,"",$A17+VLOOKUP(AH17,Schichten!$A$5:$G$24,3,FALSE())))</f>
        <v>46400.5833333333</v>
      </c>
      <c r="AL17" s="28" t="n">
        <f aca="false">IF(AK17="","",$A17+VLOOKUP(AH17,Schichten!$A$5:$G$24,4,FALSE())+IF(VLOOKUP(AH17,Schichten!$A$5:$G$24,4,FALSE())&lt;=VLOOKUP(AH17,Schichten!$A$5:$G$24,3,FALSE()),1,0))</f>
        <v>46400.9166666667</v>
      </c>
      <c r="AM17" s="28" t="n">
        <f aca="false">IF($A17="","",IF(N(AI16)&gt;0,AL16,AM16))</f>
        <v>46399.9166666667</v>
      </c>
      <c r="AN17" s="27" t="n">
        <f aca="false">IF(OR(AK17="",AM17=""),"",(AK17-AM17)*24)</f>
        <v>16</v>
      </c>
      <c r="AO17" s="21" t="n">
        <f aca="false">IF($A17="","",IF(N(AI17)&gt;0,N(AO16)+1,0))</f>
        <v>4</v>
      </c>
      <c r="AP17" s="21" t="n">
        <f aca="false">IF($A17="","",IF(N(AJ17)&gt;0,N(AP16)+1,0))</f>
        <v>0</v>
      </c>
      <c r="AQ17" s="21" t="str">
        <f aca="false">IF($A17="","",IF(WEEKDAY($A17,2)&lt;&gt;7,"",IF(AND(OR(AK17="",N(AK17)&gt;=$A17+16/24,N(AL17)&lt;=$A17+6/24),OR(AM17="",N(AM17)&lt;=$A17+6/24)),1,0)))</f>
        <v/>
      </c>
      <c r="AR17" s="26" t="str">
        <f aca="false">IF($A17="","",IF(INDEX(Muster!$C$10:$BF$10,1,MOD($A17-Einstellungen!$C$6,Einstellungen!$C$7)+1)="","-",INDEX(Muster!$C$10:$BF$10,1,MOD($A17-Einstellungen!$C$6,Einstellungen!$C$7)+1)))</f>
        <v>-</v>
      </c>
      <c r="AS17" s="27" t="n">
        <f aca="false">IF($A17="","",IFERROR(VLOOKUP(AR17,Schichten!$A$5:$G$24,6,FALSE()),0))</f>
        <v>0</v>
      </c>
      <c r="AT17" s="27" t="n">
        <f aca="false">IF($A17="","",IFERROR(VLOOKUP(AR17,Schichten!$A$5:$G$24,7,FALSE()),0))</f>
        <v>0</v>
      </c>
      <c r="AU17" s="28" t="str">
        <f aca="false">IF($A17="","",IF(N(AS17)=0,"",$A17+VLOOKUP(AR17,Schichten!$A$5:$G$24,3,FALSE())))</f>
        <v/>
      </c>
      <c r="AV17" s="28" t="str">
        <f aca="false">IF(AU17="","",$A17+VLOOKUP(AR17,Schichten!$A$5:$G$24,4,FALSE())+IF(VLOOKUP(AR17,Schichten!$A$5:$G$24,4,FALSE())&lt;=VLOOKUP(AR17,Schichten!$A$5:$G$24,3,FALSE()),1,0))</f>
        <v/>
      </c>
      <c r="AW17" s="28" t="str">
        <f aca="false">IF($A17="","",IF(N(AS16)&gt;0,AV16,AW16))</f>
        <v/>
      </c>
      <c r="AX17" s="27" t="str">
        <f aca="false">IF(OR(AU17="",AW17=""),"",(AU17-AW17)*24)</f>
        <v/>
      </c>
      <c r="AY17" s="21" t="n">
        <f aca="false">IF($A17="","",IF(N(AS17)&gt;0,N(AY16)+1,0))</f>
        <v>0</v>
      </c>
      <c r="AZ17" s="21" t="n">
        <f aca="false">IF($A17="","",IF(N(AT17)&gt;0,N(AZ16)+1,0))</f>
        <v>0</v>
      </c>
      <c r="BA17" s="21" t="str">
        <f aca="false">IF($A17="","",IF(WEEKDAY($A17,2)&lt;&gt;7,"",IF(AND(OR(AU17="",N(AU17)&gt;=$A17+16/24,N(AV17)&lt;=$A17+6/24),OR(AW17="",N(AW17)&lt;=$A17+6/24)),1,0)))</f>
        <v/>
      </c>
    </row>
    <row r="18" customFormat="false" ht="15" hidden="false" customHeight="false" outlineLevel="0" collapsed="false">
      <c r="A18" s="25" t="n">
        <f aca="false">IF(YEAR(DATE(Einstellungen!$C$4,1,1)+13)=Einstellungen!$C$4,DATE(Einstellungen!$C$4,1,1)+13,"")</f>
        <v>46401</v>
      </c>
      <c r="B18" s="26" t="str">
        <f aca="false">IF($A18="","",CHOOSE(WEEKDAY($A18,2),"Mo","Di","Mi","Do","Fr","Sa","So"))</f>
        <v>Do</v>
      </c>
      <c r="C18" s="26" t="n">
        <f aca="false">IF($A18="","",MONTH($A18))</f>
        <v>1</v>
      </c>
      <c r="D18" s="26" t="str">
        <f aca="false">IF($A18="","",IF(INDEX(Muster!$C$6:$BF$6,1,MOD($A18-Einstellungen!$C$6,Einstellungen!$C$7)+1)="","-",INDEX(Muster!$C$6:$BF$6,1,MOD($A18-Einstellungen!$C$6,Einstellungen!$C$7)+1)))</f>
        <v>S</v>
      </c>
      <c r="E18" s="27" t="n">
        <f aca="false">IF($A18="","",IFERROR(VLOOKUP(D18,Schichten!$A$5:$G$24,6,FALSE()),0))</f>
        <v>8</v>
      </c>
      <c r="F18" s="27" t="n">
        <f aca="false">IF($A18="","",IFERROR(VLOOKUP(D18,Schichten!$A$5:$G$24,7,FALSE()),0))</f>
        <v>0</v>
      </c>
      <c r="G18" s="28" t="n">
        <f aca="false">IF($A18="","",IF(N(E18)=0,"",$A18+VLOOKUP(D18,Schichten!$A$5:$G$24,3,FALSE())))</f>
        <v>46401.5833333333</v>
      </c>
      <c r="H18" s="28" t="n">
        <f aca="false">IF(G18="","",$A18+VLOOKUP(D18,Schichten!$A$5:$G$24,4,FALSE())+IF(VLOOKUP(D18,Schichten!$A$5:$G$24,4,FALSE())&lt;=VLOOKUP(D18,Schichten!$A$5:$G$24,3,FALSE()),1,0))</f>
        <v>46401.9166666667</v>
      </c>
      <c r="I18" s="28" t="n">
        <f aca="false">IF($A18="","",IF(N(E17)&gt;0,H17,I17))</f>
        <v>46400.5833333333</v>
      </c>
      <c r="J18" s="27" t="n">
        <f aca="false">IF(OR(G18="",I18=""),"",(G18-I18)*24)</f>
        <v>24</v>
      </c>
      <c r="K18" s="21" t="n">
        <f aca="false">IF($A18="","",IF(N(E18)&gt;0,N(K17)+1,0))</f>
        <v>3</v>
      </c>
      <c r="L18" s="21" t="n">
        <f aca="false">IF($A18="","",IF(N(F18)&gt;0,N(L17)+1,0))</f>
        <v>0</v>
      </c>
      <c r="M18" s="21" t="str">
        <f aca="false">IF($A18="","",IF(WEEKDAY($A18,2)&lt;&gt;7,"",IF(AND(OR(G18="",N(G18)&gt;=$A18+16/24,N(H18)&lt;=$A18+6/24),OR(I18="",N(I18)&lt;=$A18+6/24)),1,0)))</f>
        <v/>
      </c>
      <c r="N18" s="26" t="str">
        <f aca="false">IF($A18="","",IF(INDEX(Muster!$C$7:$BF$7,1,MOD($A18-Einstellungen!$C$6,Einstellungen!$C$7)+1)="","-",INDEX(Muster!$C$7:$BF$7,1,MOD($A18-Einstellungen!$C$6,Einstellungen!$C$7)+1)))</f>
        <v>F</v>
      </c>
      <c r="O18" s="27" t="n">
        <f aca="false">IF($A18="","",IFERROR(VLOOKUP(N18,Schichten!$A$5:$G$24,6,FALSE()),0))</f>
        <v>8</v>
      </c>
      <c r="P18" s="27" t="n">
        <f aca="false">IF($A18="","",IFERROR(VLOOKUP(N18,Schichten!$A$5:$G$24,7,FALSE()),0))</f>
        <v>0</v>
      </c>
      <c r="Q18" s="28" t="n">
        <f aca="false">IF($A18="","",IF(N(O18)=0,"",$A18+VLOOKUP(N18,Schichten!$A$5:$G$24,3,FALSE())))</f>
        <v>46401.25</v>
      </c>
      <c r="R18" s="28" t="n">
        <f aca="false">IF(Q18="","",$A18+VLOOKUP(N18,Schichten!$A$5:$G$24,4,FALSE())+IF(VLOOKUP(N18,Schichten!$A$5:$G$24,4,FALSE())&lt;=VLOOKUP(N18,Schichten!$A$5:$G$24,3,FALSE()),1,0))</f>
        <v>46401.5833333333</v>
      </c>
      <c r="S18" s="28" t="n">
        <f aca="false">IF($A18="","",IF(N(O17)&gt;0,R17,S17))</f>
        <v>46399.25</v>
      </c>
      <c r="T18" s="27" t="n">
        <f aca="false">IF(OR(Q18="",S18=""),"",(Q18-S18)*24)</f>
        <v>48</v>
      </c>
      <c r="U18" s="21" t="n">
        <f aca="false">IF($A18="","",IF(N(O18)&gt;0,N(U17)+1,0))</f>
        <v>1</v>
      </c>
      <c r="V18" s="21" t="n">
        <f aca="false">IF($A18="","",IF(N(P18)&gt;0,N(V17)+1,0))</f>
        <v>0</v>
      </c>
      <c r="W18" s="21" t="str">
        <f aca="false">IF($A18="","",IF(WEEKDAY($A18,2)&lt;&gt;7,"",IF(AND(OR(Q18="",N(Q18)&gt;=$A18+16/24,N(R18)&lt;=$A18+6/24),OR(S18="",N(S18)&lt;=$A18+6/24)),1,0)))</f>
        <v/>
      </c>
      <c r="X18" s="26" t="str">
        <f aca="false">IF($A18="","",IF(INDEX(Muster!$C$8:$BF$8,1,MOD($A18-Einstellungen!$C$6,Einstellungen!$C$7)+1)="","-",INDEX(Muster!$C$8:$BF$8,1,MOD($A18-Einstellungen!$C$6,Einstellungen!$C$7)+1)))</f>
        <v>-</v>
      </c>
      <c r="Y18" s="27" t="n">
        <f aca="false">IF($A18="","",IFERROR(VLOOKUP(X18,Schichten!$A$5:$G$24,6,FALSE()),0))</f>
        <v>0</v>
      </c>
      <c r="Z18" s="27" t="n">
        <f aca="false">IF($A18="","",IFERROR(VLOOKUP(X18,Schichten!$A$5:$G$24,7,FALSE()),0))</f>
        <v>0</v>
      </c>
      <c r="AA18" s="28" t="str">
        <f aca="false">IF($A18="","",IF(N(Y18)=0,"",$A18+VLOOKUP(X18,Schichten!$A$5:$G$24,3,FALSE())))</f>
        <v/>
      </c>
      <c r="AB18" s="28" t="str">
        <f aca="false">IF(AA18="","",$A18+VLOOKUP(X18,Schichten!$A$5:$G$24,4,FALSE())+IF(VLOOKUP(X18,Schichten!$A$5:$G$24,4,FALSE())&lt;=VLOOKUP(X18,Schichten!$A$5:$G$24,3,FALSE()),1,0))</f>
        <v/>
      </c>
      <c r="AC18" s="28" t="n">
        <f aca="false">IF($A18="","",IF(N(Y17)&gt;0,AB17,AC17))</f>
        <v>46401.25</v>
      </c>
      <c r="AD18" s="27" t="str">
        <f aca="false">IF(OR(AA18="",AC18=""),"",(AA18-AC18)*24)</f>
        <v/>
      </c>
      <c r="AE18" s="21" t="n">
        <f aca="false">IF($A18="","",IF(N(Y18)&gt;0,N(AE17)+1,0))</f>
        <v>0</v>
      </c>
      <c r="AF18" s="21" t="n">
        <f aca="false">IF($A18="","",IF(N(Z18)&gt;0,N(AF17)+1,0))</f>
        <v>0</v>
      </c>
      <c r="AG18" s="21" t="str">
        <f aca="false">IF($A18="","",IF(WEEKDAY($A18,2)&lt;&gt;7,"",IF(AND(OR(AA18="",N(AA18)&gt;=$A18+16/24,N(AB18)&lt;=$A18+6/24),OR(AC18="",N(AC18)&lt;=$A18+6/24)),1,0)))</f>
        <v/>
      </c>
      <c r="AH18" s="26" t="str">
        <f aca="false">IF($A18="","",IF(INDEX(Muster!$C$9:$BF$9,1,MOD($A18-Einstellungen!$C$6,Einstellungen!$C$7)+1)="","-",INDEX(Muster!$C$9:$BF$9,1,MOD($A18-Einstellungen!$C$6,Einstellungen!$C$7)+1)))</f>
        <v>N</v>
      </c>
      <c r="AI18" s="27" t="n">
        <f aca="false">IF($A18="","",IFERROR(VLOOKUP(AH18,Schichten!$A$5:$G$24,6,FALSE()),0))</f>
        <v>8</v>
      </c>
      <c r="AJ18" s="27" t="n">
        <f aca="false">IF($A18="","",IFERROR(VLOOKUP(AH18,Schichten!$A$5:$G$24,7,FALSE()),0))</f>
        <v>7</v>
      </c>
      <c r="AK18" s="28" t="n">
        <f aca="false">IF($A18="","",IF(N(AI18)=0,"",$A18+VLOOKUP(AH18,Schichten!$A$5:$G$24,3,FALSE())))</f>
        <v>46401.9166666667</v>
      </c>
      <c r="AL18" s="28" t="n">
        <f aca="false">IF(AK18="","",$A18+VLOOKUP(AH18,Schichten!$A$5:$G$24,4,FALSE())+IF(VLOOKUP(AH18,Schichten!$A$5:$G$24,4,FALSE())&lt;=VLOOKUP(AH18,Schichten!$A$5:$G$24,3,FALSE()),1,0))</f>
        <v>46402.25</v>
      </c>
      <c r="AM18" s="28" t="n">
        <f aca="false">IF($A18="","",IF(N(AI17)&gt;0,AL17,AM17))</f>
        <v>46400.9166666667</v>
      </c>
      <c r="AN18" s="27" t="n">
        <f aca="false">IF(OR(AK18="",AM18=""),"",(AK18-AM18)*24)</f>
        <v>24</v>
      </c>
      <c r="AO18" s="21" t="n">
        <f aca="false">IF($A18="","",IF(N(AI18)&gt;0,N(AO17)+1,0))</f>
        <v>5</v>
      </c>
      <c r="AP18" s="21" t="n">
        <f aca="false">IF($A18="","",IF(N(AJ18)&gt;0,N(AP17)+1,0))</f>
        <v>1</v>
      </c>
      <c r="AQ18" s="21" t="str">
        <f aca="false">IF($A18="","",IF(WEEKDAY($A18,2)&lt;&gt;7,"",IF(AND(OR(AK18="",N(AK18)&gt;=$A18+16/24,N(AL18)&lt;=$A18+6/24),OR(AM18="",N(AM18)&lt;=$A18+6/24)),1,0)))</f>
        <v/>
      </c>
      <c r="AR18" s="26" t="str">
        <f aca="false">IF($A18="","",IF(INDEX(Muster!$C$10:$BF$10,1,MOD($A18-Einstellungen!$C$6,Einstellungen!$C$7)+1)="","-",INDEX(Muster!$C$10:$BF$10,1,MOD($A18-Einstellungen!$C$6,Einstellungen!$C$7)+1)))</f>
        <v>-</v>
      </c>
      <c r="AS18" s="27" t="n">
        <f aca="false">IF($A18="","",IFERROR(VLOOKUP(AR18,Schichten!$A$5:$G$24,6,FALSE()),0))</f>
        <v>0</v>
      </c>
      <c r="AT18" s="27" t="n">
        <f aca="false">IF($A18="","",IFERROR(VLOOKUP(AR18,Schichten!$A$5:$G$24,7,FALSE()),0))</f>
        <v>0</v>
      </c>
      <c r="AU18" s="28" t="str">
        <f aca="false">IF($A18="","",IF(N(AS18)=0,"",$A18+VLOOKUP(AR18,Schichten!$A$5:$G$24,3,FALSE())))</f>
        <v/>
      </c>
      <c r="AV18" s="28" t="str">
        <f aca="false">IF(AU18="","",$A18+VLOOKUP(AR18,Schichten!$A$5:$G$24,4,FALSE())+IF(VLOOKUP(AR18,Schichten!$A$5:$G$24,4,FALSE())&lt;=VLOOKUP(AR18,Schichten!$A$5:$G$24,3,FALSE()),1,0))</f>
        <v/>
      </c>
      <c r="AW18" s="28" t="str">
        <f aca="false">IF($A18="","",IF(N(AS17)&gt;0,AV17,AW17))</f>
        <v/>
      </c>
      <c r="AX18" s="27" t="str">
        <f aca="false">IF(OR(AU18="",AW18=""),"",(AU18-AW18)*24)</f>
        <v/>
      </c>
      <c r="AY18" s="21" t="n">
        <f aca="false">IF($A18="","",IF(N(AS18)&gt;0,N(AY17)+1,0))</f>
        <v>0</v>
      </c>
      <c r="AZ18" s="21" t="n">
        <f aca="false">IF($A18="","",IF(N(AT18)&gt;0,N(AZ17)+1,0))</f>
        <v>0</v>
      </c>
      <c r="BA18" s="21" t="str">
        <f aca="false">IF($A18="","",IF(WEEKDAY($A18,2)&lt;&gt;7,"",IF(AND(OR(AU18="",N(AU18)&gt;=$A18+16/24,N(AV18)&lt;=$A18+6/24),OR(AW18="",N(AW18)&lt;=$A18+6/24)),1,0)))</f>
        <v/>
      </c>
    </row>
    <row r="19" customFormat="false" ht="15" hidden="false" customHeight="false" outlineLevel="0" collapsed="false">
      <c r="A19" s="25" t="n">
        <f aca="false">IF(YEAR(DATE(Einstellungen!$C$4,1,1)+14)=Einstellungen!$C$4,DATE(Einstellungen!$C$4,1,1)+14,"")</f>
        <v>46402</v>
      </c>
      <c r="B19" s="26" t="str">
        <f aca="false">IF($A19="","",CHOOSE(WEEKDAY($A19,2),"Mo","Di","Mi","Do","Fr","Sa","So"))</f>
        <v>Fr</v>
      </c>
      <c r="C19" s="26" t="n">
        <f aca="false">IF($A19="","",MONTH($A19))</f>
        <v>1</v>
      </c>
      <c r="D19" s="26" t="str">
        <f aca="false">IF($A19="","",IF(INDEX(Muster!$C$6:$BF$6,1,MOD($A19-Einstellungen!$C$6,Einstellungen!$C$7)+1)="","-",INDEX(Muster!$C$6:$BF$6,1,MOD($A19-Einstellungen!$C$6,Einstellungen!$C$7)+1)))</f>
        <v>S</v>
      </c>
      <c r="E19" s="27" t="n">
        <f aca="false">IF($A19="","",IFERROR(VLOOKUP(D19,Schichten!$A$5:$G$24,6,FALSE()),0))</f>
        <v>8</v>
      </c>
      <c r="F19" s="27" t="n">
        <f aca="false">IF($A19="","",IFERROR(VLOOKUP(D19,Schichten!$A$5:$G$24,7,FALSE()),0))</f>
        <v>0</v>
      </c>
      <c r="G19" s="28" t="n">
        <f aca="false">IF($A19="","",IF(N(E19)=0,"",$A19+VLOOKUP(D19,Schichten!$A$5:$G$24,3,FALSE())))</f>
        <v>46402.5833333333</v>
      </c>
      <c r="H19" s="28" t="n">
        <f aca="false">IF(G19="","",$A19+VLOOKUP(D19,Schichten!$A$5:$G$24,4,FALSE())+IF(VLOOKUP(D19,Schichten!$A$5:$G$24,4,FALSE())&lt;=VLOOKUP(D19,Schichten!$A$5:$G$24,3,FALSE()),1,0))</f>
        <v>46402.9166666667</v>
      </c>
      <c r="I19" s="28" t="n">
        <f aca="false">IF($A19="","",IF(N(E18)&gt;0,H18,I18))</f>
        <v>46401.9166666667</v>
      </c>
      <c r="J19" s="27" t="n">
        <f aca="false">IF(OR(G19="",I19=""),"",(G19-I19)*24)</f>
        <v>16</v>
      </c>
      <c r="K19" s="21" t="n">
        <f aca="false">IF($A19="","",IF(N(E19)&gt;0,N(K18)+1,0))</f>
        <v>4</v>
      </c>
      <c r="L19" s="21" t="n">
        <f aca="false">IF($A19="","",IF(N(F19)&gt;0,N(L18)+1,0))</f>
        <v>0</v>
      </c>
      <c r="M19" s="21" t="str">
        <f aca="false">IF($A19="","",IF(WEEKDAY($A19,2)&lt;&gt;7,"",IF(AND(OR(G19="",N(G19)&gt;=$A19+16/24,N(H19)&lt;=$A19+6/24),OR(I19="",N(I19)&lt;=$A19+6/24)),1,0)))</f>
        <v/>
      </c>
      <c r="N19" s="26" t="str">
        <f aca="false">IF($A19="","",IF(INDEX(Muster!$C$7:$BF$7,1,MOD($A19-Einstellungen!$C$6,Einstellungen!$C$7)+1)="","-",INDEX(Muster!$C$7:$BF$7,1,MOD($A19-Einstellungen!$C$6,Einstellungen!$C$7)+1)))</f>
        <v>F</v>
      </c>
      <c r="O19" s="27" t="n">
        <f aca="false">IF($A19="","",IFERROR(VLOOKUP(N19,Schichten!$A$5:$G$24,6,FALSE()),0))</f>
        <v>8</v>
      </c>
      <c r="P19" s="27" t="n">
        <f aca="false">IF($A19="","",IFERROR(VLOOKUP(N19,Schichten!$A$5:$G$24,7,FALSE()),0))</f>
        <v>0</v>
      </c>
      <c r="Q19" s="28" t="n">
        <f aca="false">IF($A19="","",IF(N(O19)=0,"",$A19+VLOOKUP(N19,Schichten!$A$5:$G$24,3,FALSE())))</f>
        <v>46402.25</v>
      </c>
      <c r="R19" s="28" t="n">
        <f aca="false">IF(Q19="","",$A19+VLOOKUP(N19,Schichten!$A$5:$G$24,4,FALSE())+IF(VLOOKUP(N19,Schichten!$A$5:$G$24,4,FALSE())&lt;=VLOOKUP(N19,Schichten!$A$5:$G$24,3,FALSE()),1,0))</f>
        <v>46402.5833333333</v>
      </c>
      <c r="S19" s="28" t="n">
        <f aca="false">IF($A19="","",IF(N(O18)&gt;0,R18,S18))</f>
        <v>46401.5833333333</v>
      </c>
      <c r="T19" s="27" t="n">
        <f aca="false">IF(OR(Q19="",S19=""),"",(Q19-S19)*24)</f>
        <v>16</v>
      </c>
      <c r="U19" s="21" t="n">
        <f aca="false">IF($A19="","",IF(N(O19)&gt;0,N(U18)+1,0))</f>
        <v>2</v>
      </c>
      <c r="V19" s="21" t="n">
        <f aca="false">IF($A19="","",IF(N(P19)&gt;0,N(V18)+1,0))</f>
        <v>0</v>
      </c>
      <c r="W19" s="21" t="str">
        <f aca="false">IF($A19="","",IF(WEEKDAY($A19,2)&lt;&gt;7,"",IF(AND(OR(Q19="",N(Q19)&gt;=$A19+16/24,N(R19)&lt;=$A19+6/24),OR(S19="",N(S19)&lt;=$A19+6/24)),1,0)))</f>
        <v/>
      </c>
      <c r="X19" s="26" t="str">
        <f aca="false">IF($A19="","",IF(INDEX(Muster!$C$8:$BF$8,1,MOD($A19-Einstellungen!$C$6,Einstellungen!$C$7)+1)="","-",INDEX(Muster!$C$8:$BF$8,1,MOD($A19-Einstellungen!$C$6,Einstellungen!$C$7)+1)))</f>
        <v>-</v>
      </c>
      <c r="Y19" s="27" t="n">
        <f aca="false">IF($A19="","",IFERROR(VLOOKUP(X19,Schichten!$A$5:$G$24,6,FALSE()),0))</f>
        <v>0</v>
      </c>
      <c r="Z19" s="27" t="n">
        <f aca="false">IF($A19="","",IFERROR(VLOOKUP(X19,Schichten!$A$5:$G$24,7,FALSE()),0))</f>
        <v>0</v>
      </c>
      <c r="AA19" s="28" t="str">
        <f aca="false">IF($A19="","",IF(N(Y19)=0,"",$A19+VLOOKUP(X19,Schichten!$A$5:$G$24,3,FALSE())))</f>
        <v/>
      </c>
      <c r="AB19" s="28" t="str">
        <f aca="false">IF(AA19="","",$A19+VLOOKUP(X19,Schichten!$A$5:$G$24,4,FALSE())+IF(VLOOKUP(X19,Schichten!$A$5:$G$24,4,FALSE())&lt;=VLOOKUP(X19,Schichten!$A$5:$G$24,3,FALSE()),1,0))</f>
        <v/>
      </c>
      <c r="AC19" s="28" t="n">
        <f aca="false">IF($A19="","",IF(N(Y18)&gt;0,AB18,AC18))</f>
        <v>46401.25</v>
      </c>
      <c r="AD19" s="27" t="str">
        <f aca="false">IF(OR(AA19="",AC19=""),"",(AA19-AC19)*24)</f>
        <v/>
      </c>
      <c r="AE19" s="21" t="n">
        <f aca="false">IF($A19="","",IF(N(Y19)&gt;0,N(AE18)+1,0))</f>
        <v>0</v>
      </c>
      <c r="AF19" s="21" t="n">
        <f aca="false">IF($A19="","",IF(N(Z19)&gt;0,N(AF18)+1,0))</f>
        <v>0</v>
      </c>
      <c r="AG19" s="21" t="str">
        <f aca="false">IF($A19="","",IF(WEEKDAY($A19,2)&lt;&gt;7,"",IF(AND(OR(AA19="",N(AA19)&gt;=$A19+16/24,N(AB19)&lt;=$A19+6/24),OR(AC19="",N(AC19)&lt;=$A19+6/24)),1,0)))</f>
        <v/>
      </c>
      <c r="AH19" s="26" t="str">
        <f aca="false">IF($A19="","",IF(INDEX(Muster!$C$9:$BF$9,1,MOD($A19-Einstellungen!$C$6,Einstellungen!$C$7)+1)="","-",INDEX(Muster!$C$9:$BF$9,1,MOD($A19-Einstellungen!$C$6,Einstellungen!$C$7)+1)))</f>
        <v>N</v>
      </c>
      <c r="AI19" s="27" t="n">
        <f aca="false">IF($A19="","",IFERROR(VLOOKUP(AH19,Schichten!$A$5:$G$24,6,FALSE()),0))</f>
        <v>8</v>
      </c>
      <c r="AJ19" s="27" t="n">
        <f aca="false">IF($A19="","",IFERROR(VLOOKUP(AH19,Schichten!$A$5:$G$24,7,FALSE()),0))</f>
        <v>7</v>
      </c>
      <c r="AK19" s="28" t="n">
        <f aca="false">IF($A19="","",IF(N(AI19)=0,"",$A19+VLOOKUP(AH19,Schichten!$A$5:$G$24,3,FALSE())))</f>
        <v>46402.9166666667</v>
      </c>
      <c r="AL19" s="28" t="n">
        <f aca="false">IF(AK19="","",$A19+VLOOKUP(AH19,Schichten!$A$5:$G$24,4,FALSE())+IF(VLOOKUP(AH19,Schichten!$A$5:$G$24,4,FALSE())&lt;=VLOOKUP(AH19,Schichten!$A$5:$G$24,3,FALSE()),1,0))</f>
        <v>46403.25</v>
      </c>
      <c r="AM19" s="28" t="n">
        <f aca="false">IF($A19="","",IF(N(AI18)&gt;0,AL18,AM18))</f>
        <v>46402.25</v>
      </c>
      <c r="AN19" s="27" t="n">
        <f aca="false">IF(OR(AK19="",AM19=""),"",(AK19-AM19)*24)</f>
        <v>16</v>
      </c>
      <c r="AO19" s="21" t="n">
        <f aca="false">IF($A19="","",IF(N(AI19)&gt;0,N(AO18)+1,0))</f>
        <v>6</v>
      </c>
      <c r="AP19" s="21" t="n">
        <f aca="false">IF($A19="","",IF(N(AJ19)&gt;0,N(AP18)+1,0))</f>
        <v>2</v>
      </c>
      <c r="AQ19" s="21" t="str">
        <f aca="false">IF($A19="","",IF(WEEKDAY($A19,2)&lt;&gt;7,"",IF(AND(OR(AK19="",N(AK19)&gt;=$A19+16/24,N(AL19)&lt;=$A19+6/24),OR(AM19="",N(AM19)&lt;=$A19+6/24)),1,0)))</f>
        <v/>
      </c>
      <c r="AR19" s="26" t="str">
        <f aca="false">IF($A19="","",IF(INDEX(Muster!$C$10:$BF$10,1,MOD($A19-Einstellungen!$C$6,Einstellungen!$C$7)+1)="","-",INDEX(Muster!$C$10:$BF$10,1,MOD($A19-Einstellungen!$C$6,Einstellungen!$C$7)+1)))</f>
        <v>-</v>
      </c>
      <c r="AS19" s="27" t="n">
        <f aca="false">IF($A19="","",IFERROR(VLOOKUP(AR19,Schichten!$A$5:$G$24,6,FALSE()),0))</f>
        <v>0</v>
      </c>
      <c r="AT19" s="27" t="n">
        <f aca="false">IF($A19="","",IFERROR(VLOOKUP(AR19,Schichten!$A$5:$G$24,7,FALSE()),0))</f>
        <v>0</v>
      </c>
      <c r="AU19" s="28" t="str">
        <f aca="false">IF($A19="","",IF(N(AS19)=0,"",$A19+VLOOKUP(AR19,Schichten!$A$5:$G$24,3,FALSE())))</f>
        <v/>
      </c>
      <c r="AV19" s="28" t="str">
        <f aca="false">IF(AU19="","",$A19+VLOOKUP(AR19,Schichten!$A$5:$G$24,4,FALSE())+IF(VLOOKUP(AR19,Schichten!$A$5:$G$24,4,FALSE())&lt;=VLOOKUP(AR19,Schichten!$A$5:$G$24,3,FALSE()),1,0))</f>
        <v/>
      </c>
      <c r="AW19" s="28" t="str">
        <f aca="false">IF($A19="","",IF(N(AS18)&gt;0,AV18,AW18))</f>
        <v/>
      </c>
      <c r="AX19" s="27" t="str">
        <f aca="false">IF(OR(AU19="",AW19=""),"",(AU19-AW19)*24)</f>
        <v/>
      </c>
      <c r="AY19" s="21" t="n">
        <f aca="false">IF($A19="","",IF(N(AS19)&gt;0,N(AY18)+1,0))</f>
        <v>0</v>
      </c>
      <c r="AZ19" s="21" t="n">
        <f aca="false">IF($A19="","",IF(N(AT19)&gt;0,N(AZ18)+1,0))</f>
        <v>0</v>
      </c>
      <c r="BA19" s="21" t="str">
        <f aca="false">IF($A19="","",IF(WEEKDAY($A19,2)&lt;&gt;7,"",IF(AND(OR(AU19="",N(AU19)&gt;=$A19+16/24,N(AV19)&lt;=$A19+6/24),OR(AW19="",N(AW19)&lt;=$A19+6/24)),1,0)))</f>
        <v/>
      </c>
    </row>
    <row r="20" customFormat="false" ht="15" hidden="false" customHeight="false" outlineLevel="0" collapsed="false">
      <c r="A20" s="25" t="n">
        <f aca="false">IF(YEAR(DATE(Einstellungen!$C$4,1,1)+15)=Einstellungen!$C$4,DATE(Einstellungen!$C$4,1,1)+15,"")</f>
        <v>46403</v>
      </c>
      <c r="B20" s="26" t="str">
        <f aca="false">IF($A20="","",CHOOSE(WEEKDAY($A20,2),"Mo","Di","Mi","Do","Fr","Sa","So"))</f>
        <v>Sa</v>
      </c>
      <c r="C20" s="26" t="n">
        <f aca="false">IF($A20="","",MONTH($A20))</f>
        <v>1</v>
      </c>
      <c r="D20" s="26" t="str">
        <f aca="false">IF($A20="","",IF(INDEX(Muster!$C$6:$BF$6,1,MOD($A20-Einstellungen!$C$6,Einstellungen!$C$7)+1)="","-",INDEX(Muster!$C$6:$BF$6,1,MOD($A20-Einstellungen!$C$6,Einstellungen!$C$7)+1)))</f>
        <v>N</v>
      </c>
      <c r="E20" s="27" t="n">
        <f aca="false">IF($A20="","",IFERROR(VLOOKUP(D20,Schichten!$A$5:$G$24,6,FALSE()),0))</f>
        <v>8</v>
      </c>
      <c r="F20" s="27" t="n">
        <f aca="false">IF($A20="","",IFERROR(VLOOKUP(D20,Schichten!$A$5:$G$24,7,FALSE()),0))</f>
        <v>7</v>
      </c>
      <c r="G20" s="28" t="n">
        <f aca="false">IF($A20="","",IF(N(E20)=0,"",$A20+VLOOKUP(D20,Schichten!$A$5:$G$24,3,FALSE())))</f>
        <v>46403.9166666667</v>
      </c>
      <c r="H20" s="28" t="n">
        <f aca="false">IF(G20="","",$A20+VLOOKUP(D20,Schichten!$A$5:$G$24,4,FALSE())+IF(VLOOKUP(D20,Schichten!$A$5:$G$24,4,FALSE())&lt;=VLOOKUP(D20,Schichten!$A$5:$G$24,3,FALSE()),1,0))</f>
        <v>46404.25</v>
      </c>
      <c r="I20" s="28" t="n">
        <f aca="false">IF($A20="","",IF(N(E19)&gt;0,H19,I19))</f>
        <v>46402.9166666667</v>
      </c>
      <c r="J20" s="27" t="n">
        <f aca="false">IF(OR(G20="",I20=""),"",(G20-I20)*24)</f>
        <v>24</v>
      </c>
      <c r="K20" s="21" t="n">
        <f aca="false">IF($A20="","",IF(N(E20)&gt;0,N(K19)+1,0))</f>
        <v>5</v>
      </c>
      <c r="L20" s="21" t="n">
        <f aca="false">IF($A20="","",IF(N(F20)&gt;0,N(L19)+1,0))</f>
        <v>1</v>
      </c>
      <c r="M20" s="21" t="str">
        <f aca="false">IF($A20="","",IF(WEEKDAY($A20,2)&lt;&gt;7,"",IF(AND(OR(G20="",N(G20)&gt;=$A20+16/24,N(H20)&lt;=$A20+6/24),OR(I20="",N(I20)&lt;=$A20+6/24)),1,0)))</f>
        <v/>
      </c>
      <c r="N20" s="26" t="str">
        <f aca="false">IF($A20="","",IF(INDEX(Muster!$C$7:$BF$7,1,MOD($A20-Einstellungen!$C$6,Einstellungen!$C$7)+1)="","-",INDEX(Muster!$C$7:$BF$7,1,MOD($A20-Einstellungen!$C$6,Einstellungen!$C$7)+1)))</f>
        <v>S</v>
      </c>
      <c r="O20" s="27" t="n">
        <f aca="false">IF($A20="","",IFERROR(VLOOKUP(N20,Schichten!$A$5:$G$24,6,FALSE()),0))</f>
        <v>8</v>
      </c>
      <c r="P20" s="27" t="n">
        <f aca="false">IF($A20="","",IFERROR(VLOOKUP(N20,Schichten!$A$5:$G$24,7,FALSE()),0))</f>
        <v>0</v>
      </c>
      <c r="Q20" s="28" t="n">
        <f aca="false">IF($A20="","",IF(N(O20)=0,"",$A20+VLOOKUP(N20,Schichten!$A$5:$G$24,3,FALSE())))</f>
        <v>46403.5833333333</v>
      </c>
      <c r="R20" s="28" t="n">
        <f aca="false">IF(Q20="","",$A20+VLOOKUP(N20,Schichten!$A$5:$G$24,4,FALSE())+IF(VLOOKUP(N20,Schichten!$A$5:$G$24,4,FALSE())&lt;=VLOOKUP(N20,Schichten!$A$5:$G$24,3,FALSE()),1,0))</f>
        <v>46403.9166666667</v>
      </c>
      <c r="S20" s="28" t="n">
        <f aca="false">IF($A20="","",IF(N(O19)&gt;0,R19,S19))</f>
        <v>46402.5833333333</v>
      </c>
      <c r="T20" s="27" t="n">
        <f aca="false">IF(OR(Q20="",S20=""),"",(Q20-S20)*24)</f>
        <v>24</v>
      </c>
      <c r="U20" s="21" t="n">
        <f aca="false">IF($A20="","",IF(N(O20)&gt;0,N(U19)+1,0))</f>
        <v>3</v>
      </c>
      <c r="V20" s="21" t="n">
        <f aca="false">IF($A20="","",IF(N(P20)&gt;0,N(V19)+1,0))</f>
        <v>0</v>
      </c>
      <c r="W20" s="21" t="str">
        <f aca="false">IF($A20="","",IF(WEEKDAY($A20,2)&lt;&gt;7,"",IF(AND(OR(Q20="",N(Q20)&gt;=$A20+16/24,N(R20)&lt;=$A20+6/24),OR(S20="",N(S20)&lt;=$A20+6/24)),1,0)))</f>
        <v/>
      </c>
      <c r="X20" s="26" t="str">
        <f aca="false">IF($A20="","",IF(INDEX(Muster!$C$8:$BF$8,1,MOD($A20-Einstellungen!$C$6,Einstellungen!$C$7)+1)="","-",INDEX(Muster!$C$8:$BF$8,1,MOD($A20-Einstellungen!$C$6,Einstellungen!$C$7)+1)))</f>
        <v>F</v>
      </c>
      <c r="Y20" s="27" t="n">
        <f aca="false">IF($A20="","",IFERROR(VLOOKUP(X20,Schichten!$A$5:$G$24,6,FALSE()),0))</f>
        <v>8</v>
      </c>
      <c r="Z20" s="27" t="n">
        <f aca="false">IF($A20="","",IFERROR(VLOOKUP(X20,Schichten!$A$5:$G$24,7,FALSE()),0))</f>
        <v>0</v>
      </c>
      <c r="AA20" s="28" t="n">
        <f aca="false">IF($A20="","",IF(N(Y20)=0,"",$A20+VLOOKUP(X20,Schichten!$A$5:$G$24,3,FALSE())))</f>
        <v>46403.25</v>
      </c>
      <c r="AB20" s="28" t="n">
        <f aca="false">IF(AA20="","",$A20+VLOOKUP(X20,Schichten!$A$5:$G$24,4,FALSE())+IF(VLOOKUP(X20,Schichten!$A$5:$G$24,4,FALSE())&lt;=VLOOKUP(X20,Schichten!$A$5:$G$24,3,FALSE()),1,0))</f>
        <v>46403.5833333333</v>
      </c>
      <c r="AC20" s="28" t="n">
        <f aca="false">IF($A20="","",IF(N(Y19)&gt;0,AB19,AC19))</f>
        <v>46401.25</v>
      </c>
      <c r="AD20" s="27" t="n">
        <f aca="false">IF(OR(AA20="",AC20=""),"",(AA20-AC20)*24)</f>
        <v>48</v>
      </c>
      <c r="AE20" s="21" t="n">
        <f aca="false">IF($A20="","",IF(N(Y20)&gt;0,N(AE19)+1,0))</f>
        <v>1</v>
      </c>
      <c r="AF20" s="21" t="n">
        <f aca="false">IF($A20="","",IF(N(Z20)&gt;0,N(AF19)+1,0))</f>
        <v>0</v>
      </c>
      <c r="AG20" s="21" t="str">
        <f aca="false">IF($A20="","",IF(WEEKDAY($A20,2)&lt;&gt;7,"",IF(AND(OR(AA20="",N(AA20)&gt;=$A20+16/24,N(AB20)&lt;=$A20+6/24),OR(AC20="",N(AC20)&lt;=$A20+6/24)),1,0)))</f>
        <v/>
      </c>
      <c r="AH20" s="26" t="str">
        <f aca="false">IF($A20="","",IF(INDEX(Muster!$C$9:$BF$9,1,MOD($A20-Einstellungen!$C$6,Einstellungen!$C$7)+1)="","-",INDEX(Muster!$C$9:$BF$9,1,MOD($A20-Einstellungen!$C$6,Einstellungen!$C$7)+1)))</f>
        <v>-</v>
      </c>
      <c r="AI20" s="27" t="n">
        <f aca="false">IF($A20="","",IFERROR(VLOOKUP(AH20,Schichten!$A$5:$G$24,6,FALSE()),0))</f>
        <v>0</v>
      </c>
      <c r="AJ20" s="27" t="n">
        <f aca="false">IF($A20="","",IFERROR(VLOOKUP(AH20,Schichten!$A$5:$G$24,7,FALSE()),0))</f>
        <v>0</v>
      </c>
      <c r="AK20" s="28" t="str">
        <f aca="false">IF($A20="","",IF(N(AI20)=0,"",$A20+VLOOKUP(AH20,Schichten!$A$5:$G$24,3,FALSE())))</f>
        <v/>
      </c>
      <c r="AL20" s="28" t="str">
        <f aca="false">IF(AK20="","",$A20+VLOOKUP(AH20,Schichten!$A$5:$G$24,4,FALSE())+IF(VLOOKUP(AH20,Schichten!$A$5:$G$24,4,FALSE())&lt;=VLOOKUP(AH20,Schichten!$A$5:$G$24,3,FALSE()),1,0))</f>
        <v/>
      </c>
      <c r="AM20" s="28" t="n">
        <f aca="false">IF($A20="","",IF(N(AI19)&gt;0,AL19,AM19))</f>
        <v>46403.25</v>
      </c>
      <c r="AN20" s="27" t="str">
        <f aca="false">IF(OR(AK20="",AM20=""),"",(AK20-AM20)*24)</f>
        <v/>
      </c>
      <c r="AO20" s="21" t="n">
        <f aca="false">IF($A20="","",IF(N(AI20)&gt;0,N(AO19)+1,0))</f>
        <v>0</v>
      </c>
      <c r="AP20" s="21" t="n">
        <f aca="false">IF($A20="","",IF(N(AJ20)&gt;0,N(AP19)+1,0))</f>
        <v>0</v>
      </c>
      <c r="AQ20" s="21" t="str">
        <f aca="false">IF($A20="","",IF(WEEKDAY($A20,2)&lt;&gt;7,"",IF(AND(OR(AK20="",N(AK20)&gt;=$A20+16/24,N(AL20)&lt;=$A20+6/24),OR(AM20="",N(AM20)&lt;=$A20+6/24)),1,0)))</f>
        <v/>
      </c>
      <c r="AR20" s="26" t="str">
        <f aca="false">IF($A20="","",IF(INDEX(Muster!$C$10:$BF$10,1,MOD($A20-Einstellungen!$C$6,Einstellungen!$C$7)+1)="","-",INDEX(Muster!$C$10:$BF$10,1,MOD($A20-Einstellungen!$C$6,Einstellungen!$C$7)+1)))</f>
        <v>-</v>
      </c>
      <c r="AS20" s="27" t="n">
        <f aca="false">IF($A20="","",IFERROR(VLOOKUP(AR20,Schichten!$A$5:$G$24,6,FALSE()),0))</f>
        <v>0</v>
      </c>
      <c r="AT20" s="27" t="n">
        <f aca="false">IF($A20="","",IFERROR(VLOOKUP(AR20,Schichten!$A$5:$G$24,7,FALSE()),0))</f>
        <v>0</v>
      </c>
      <c r="AU20" s="28" t="str">
        <f aca="false">IF($A20="","",IF(N(AS20)=0,"",$A20+VLOOKUP(AR20,Schichten!$A$5:$G$24,3,FALSE())))</f>
        <v/>
      </c>
      <c r="AV20" s="28" t="str">
        <f aca="false">IF(AU20="","",$A20+VLOOKUP(AR20,Schichten!$A$5:$G$24,4,FALSE())+IF(VLOOKUP(AR20,Schichten!$A$5:$G$24,4,FALSE())&lt;=VLOOKUP(AR20,Schichten!$A$5:$G$24,3,FALSE()),1,0))</f>
        <v/>
      </c>
      <c r="AW20" s="28" t="str">
        <f aca="false">IF($A20="","",IF(N(AS19)&gt;0,AV19,AW19))</f>
        <v/>
      </c>
      <c r="AX20" s="27" t="str">
        <f aca="false">IF(OR(AU20="",AW20=""),"",(AU20-AW20)*24)</f>
        <v/>
      </c>
      <c r="AY20" s="21" t="n">
        <f aca="false">IF($A20="","",IF(N(AS20)&gt;0,N(AY19)+1,0))</f>
        <v>0</v>
      </c>
      <c r="AZ20" s="21" t="n">
        <f aca="false">IF($A20="","",IF(N(AT20)&gt;0,N(AZ19)+1,0))</f>
        <v>0</v>
      </c>
      <c r="BA20" s="21" t="str">
        <f aca="false">IF($A20="","",IF(WEEKDAY($A20,2)&lt;&gt;7,"",IF(AND(OR(AU20="",N(AU20)&gt;=$A20+16/24,N(AV20)&lt;=$A20+6/24),OR(AW20="",N(AW20)&lt;=$A20+6/24)),1,0)))</f>
        <v/>
      </c>
    </row>
    <row r="21" customFormat="false" ht="15" hidden="false" customHeight="false" outlineLevel="0" collapsed="false">
      <c r="A21" s="25" t="n">
        <f aca="false">IF(YEAR(DATE(Einstellungen!$C$4,1,1)+16)=Einstellungen!$C$4,DATE(Einstellungen!$C$4,1,1)+16,"")</f>
        <v>46404</v>
      </c>
      <c r="B21" s="26" t="str">
        <f aca="false">IF($A21="","",CHOOSE(WEEKDAY($A21,2),"Mo","Di","Mi","Do","Fr","Sa","So"))</f>
        <v>So</v>
      </c>
      <c r="C21" s="26" t="n">
        <f aca="false">IF($A21="","",MONTH($A21))</f>
        <v>1</v>
      </c>
      <c r="D21" s="26" t="str">
        <f aca="false">IF($A21="","",IF(INDEX(Muster!$C$6:$BF$6,1,MOD($A21-Einstellungen!$C$6,Einstellungen!$C$7)+1)="","-",INDEX(Muster!$C$6:$BF$6,1,MOD($A21-Einstellungen!$C$6,Einstellungen!$C$7)+1)))</f>
        <v>N</v>
      </c>
      <c r="E21" s="27" t="n">
        <f aca="false">IF($A21="","",IFERROR(VLOOKUP(D21,Schichten!$A$5:$G$24,6,FALSE()),0))</f>
        <v>8</v>
      </c>
      <c r="F21" s="27" t="n">
        <f aca="false">IF($A21="","",IFERROR(VLOOKUP(D21,Schichten!$A$5:$G$24,7,FALSE()),0))</f>
        <v>7</v>
      </c>
      <c r="G21" s="28" t="n">
        <f aca="false">IF($A21="","",IF(N(E21)=0,"",$A21+VLOOKUP(D21,Schichten!$A$5:$G$24,3,FALSE())))</f>
        <v>46404.9166666667</v>
      </c>
      <c r="H21" s="28" t="n">
        <f aca="false">IF(G21="","",$A21+VLOOKUP(D21,Schichten!$A$5:$G$24,4,FALSE())+IF(VLOOKUP(D21,Schichten!$A$5:$G$24,4,FALSE())&lt;=VLOOKUP(D21,Schichten!$A$5:$G$24,3,FALSE()),1,0))</f>
        <v>46405.25</v>
      </c>
      <c r="I21" s="28" t="n">
        <f aca="false">IF($A21="","",IF(N(E20)&gt;0,H20,I20))</f>
        <v>46404.25</v>
      </c>
      <c r="J21" s="27" t="n">
        <f aca="false">IF(OR(G21="",I21=""),"",(G21-I21)*24)</f>
        <v>16</v>
      </c>
      <c r="K21" s="21" t="n">
        <f aca="false">IF($A21="","",IF(N(E21)&gt;0,N(K20)+1,0))</f>
        <v>6</v>
      </c>
      <c r="L21" s="21" t="n">
        <f aca="false">IF($A21="","",IF(N(F21)&gt;0,N(L20)+1,0))</f>
        <v>2</v>
      </c>
      <c r="M21" s="21" t="n">
        <f aca="false">IF($A21="","",IF(WEEKDAY($A21,2)&lt;&gt;7,"",IF(AND(OR(G21="",N(G21)&gt;=$A21+16/24,N(H21)&lt;=$A21+6/24),OR(I21="",N(I21)&lt;=$A21+6/24)),1,0)))</f>
        <v>1</v>
      </c>
      <c r="N21" s="26" t="str">
        <f aca="false">IF($A21="","",IF(INDEX(Muster!$C$7:$BF$7,1,MOD($A21-Einstellungen!$C$6,Einstellungen!$C$7)+1)="","-",INDEX(Muster!$C$7:$BF$7,1,MOD($A21-Einstellungen!$C$6,Einstellungen!$C$7)+1)))</f>
        <v>S</v>
      </c>
      <c r="O21" s="27" t="n">
        <f aca="false">IF($A21="","",IFERROR(VLOOKUP(N21,Schichten!$A$5:$G$24,6,FALSE()),0))</f>
        <v>8</v>
      </c>
      <c r="P21" s="27" t="n">
        <f aca="false">IF($A21="","",IFERROR(VLOOKUP(N21,Schichten!$A$5:$G$24,7,FALSE()),0))</f>
        <v>0</v>
      </c>
      <c r="Q21" s="28" t="n">
        <f aca="false">IF($A21="","",IF(N(O21)=0,"",$A21+VLOOKUP(N21,Schichten!$A$5:$G$24,3,FALSE())))</f>
        <v>46404.5833333333</v>
      </c>
      <c r="R21" s="28" t="n">
        <f aca="false">IF(Q21="","",$A21+VLOOKUP(N21,Schichten!$A$5:$G$24,4,FALSE())+IF(VLOOKUP(N21,Schichten!$A$5:$G$24,4,FALSE())&lt;=VLOOKUP(N21,Schichten!$A$5:$G$24,3,FALSE()),1,0))</f>
        <v>46404.9166666667</v>
      </c>
      <c r="S21" s="28" t="n">
        <f aca="false">IF($A21="","",IF(N(O20)&gt;0,R20,S20))</f>
        <v>46403.9166666667</v>
      </c>
      <c r="T21" s="27" t="n">
        <f aca="false">IF(OR(Q21="",S21=""),"",(Q21-S21)*24)</f>
        <v>16</v>
      </c>
      <c r="U21" s="21" t="n">
        <f aca="false">IF($A21="","",IF(N(O21)&gt;0,N(U20)+1,0))</f>
        <v>4</v>
      </c>
      <c r="V21" s="21" t="n">
        <f aca="false">IF($A21="","",IF(N(P21)&gt;0,N(V20)+1,0))</f>
        <v>0</v>
      </c>
      <c r="W21" s="21" t="n">
        <f aca="false">IF($A21="","",IF(WEEKDAY($A21,2)&lt;&gt;7,"",IF(AND(OR(Q21="",N(Q21)&gt;=$A21+16/24,N(R21)&lt;=$A21+6/24),OR(S21="",N(S21)&lt;=$A21+6/24)),1,0)))</f>
        <v>0</v>
      </c>
      <c r="X21" s="26" t="str">
        <f aca="false">IF($A21="","",IF(INDEX(Muster!$C$8:$BF$8,1,MOD($A21-Einstellungen!$C$6,Einstellungen!$C$7)+1)="","-",INDEX(Muster!$C$8:$BF$8,1,MOD($A21-Einstellungen!$C$6,Einstellungen!$C$7)+1)))</f>
        <v>F</v>
      </c>
      <c r="Y21" s="27" t="n">
        <f aca="false">IF($A21="","",IFERROR(VLOOKUP(X21,Schichten!$A$5:$G$24,6,FALSE()),0))</f>
        <v>8</v>
      </c>
      <c r="Z21" s="27" t="n">
        <f aca="false">IF($A21="","",IFERROR(VLOOKUP(X21,Schichten!$A$5:$G$24,7,FALSE()),0))</f>
        <v>0</v>
      </c>
      <c r="AA21" s="28" t="n">
        <f aca="false">IF($A21="","",IF(N(Y21)=0,"",$A21+VLOOKUP(X21,Schichten!$A$5:$G$24,3,FALSE())))</f>
        <v>46404.25</v>
      </c>
      <c r="AB21" s="28" t="n">
        <f aca="false">IF(AA21="","",$A21+VLOOKUP(X21,Schichten!$A$5:$G$24,4,FALSE())+IF(VLOOKUP(X21,Schichten!$A$5:$G$24,4,FALSE())&lt;=VLOOKUP(X21,Schichten!$A$5:$G$24,3,FALSE()),1,0))</f>
        <v>46404.5833333333</v>
      </c>
      <c r="AC21" s="28" t="n">
        <f aca="false">IF($A21="","",IF(N(Y20)&gt;0,AB20,AC20))</f>
        <v>46403.5833333333</v>
      </c>
      <c r="AD21" s="27" t="n">
        <f aca="false">IF(OR(AA21="",AC21=""),"",(AA21-AC21)*24)</f>
        <v>16</v>
      </c>
      <c r="AE21" s="21" t="n">
        <f aca="false">IF($A21="","",IF(N(Y21)&gt;0,N(AE20)+1,0))</f>
        <v>2</v>
      </c>
      <c r="AF21" s="21" t="n">
        <f aca="false">IF($A21="","",IF(N(Z21)&gt;0,N(AF20)+1,0))</f>
        <v>0</v>
      </c>
      <c r="AG21" s="21" t="n">
        <f aca="false">IF($A21="","",IF(WEEKDAY($A21,2)&lt;&gt;7,"",IF(AND(OR(AA21="",N(AA21)&gt;=$A21+16/24,N(AB21)&lt;=$A21+6/24),OR(AC21="",N(AC21)&lt;=$A21+6/24)),1,0)))</f>
        <v>0</v>
      </c>
      <c r="AH21" s="26" t="str">
        <f aca="false">IF($A21="","",IF(INDEX(Muster!$C$9:$BF$9,1,MOD($A21-Einstellungen!$C$6,Einstellungen!$C$7)+1)="","-",INDEX(Muster!$C$9:$BF$9,1,MOD($A21-Einstellungen!$C$6,Einstellungen!$C$7)+1)))</f>
        <v>-</v>
      </c>
      <c r="AI21" s="27" t="n">
        <f aca="false">IF($A21="","",IFERROR(VLOOKUP(AH21,Schichten!$A$5:$G$24,6,FALSE()),0))</f>
        <v>0</v>
      </c>
      <c r="AJ21" s="27" t="n">
        <f aca="false">IF($A21="","",IFERROR(VLOOKUP(AH21,Schichten!$A$5:$G$24,7,FALSE()),0))</f>
        <v>0</v>
      </c>
      <c r="AK21" s="28" t="str">
        <f aca="false">IF($A21="","",IF(N(AI21)=0,"",$A21+VLOOKUP(AH21,Schichten!$A$5:$G$24,3,FALSE())))</f>
        <v/>
      </c>
      <c r="AL21" s="28" t="str">
        <f aca="false">IF(AK21="","",$A21+VLOOKUP(AH21,Schichten!$A$5:$G$24,4,FALSE())+IF(VLOOKUP(AH21,Schichten!$A$5:$G$24,4,FALSE())&lt;=VLOOKUP(AH21,Schichten!$A$5:$G$24,3,FALSE()),1,0))</f>
        <v/>
      </c>
      <c r="AM21" s="28" t="n">
        <f aca="false">IF($A21="","",IF(N(AI20)&gt;0,AL20,AM20))</f>
        <v>46403.25</v>
      </c>
      <c r="AN21" s="27" t="str">
        <f aca="false">IF(OR(AK21="",AM21=""),"",(AK21-AM21)*24)</f>
        <v/>
      </c>
      <c r="AO21" s="21" t="n">
        <f aca="false">IF($A21="","",IF(N(AI21)&gt;0,N(AO20)+1,0))</f>
        <v>0</v>
      </c>
      <c r="AP21" s="21" t="n">
        <f aca="false">IF($A21="","",IF(N(AJ21)&gt;0,N(AP20)+1,0))</f>
        <v>0</v>
      </c>
      <c r="AQ21" s="21" t="n">
        <f aca="false">IF($A21="","",IF(WEEKDAY($A21,2)&lt;&gt;7,"",IF(AND(OR(AK21="",N(AK21)&gt;=$A21+16/24,N(AL21)&lt;=$A21+6/24),OR(AM21="",N(AM21)&lt;=$A21+6/24)),1,0)))</f>
        <v>1</v>
      </c>
      <c r="AR21" s="26" t="str">
        <f aca="false">IF($A21="","",IF(INDEX(Muster!$C$10:$BF$10,1,MOD($A21-Einstellungen!$C$6,Einstellungen!$C$7)+1)="","-",INDEX(Muster!$C$10:$BF$10,1,MOD($A21-Einstellungen!$C$6,Einstellungen!$C$7)+1)))</f>
        <v>-</v>
      </c>
      <c r="AS21" s="27" t="n">
        <f aca="false">IF($A21="","",IFERROR(VLOOKUP(AR21,Schichten!$A$5:$G$24,6,FALSE()),0))</f>
        <v>0</v>
      </c>
      <c r="AT21" s="27" t="n">
        <f aca="false">IF($A21="","",IFERROR(VLOOKUP(AR21,Schichten!$A$5:$G$24,7,FALSE()),0))</f>
        <v>0</v>
      </c>
      <c r="AU21" s="28" t="str">
        <f aca="false">IF($A21="","",IF(N(AS21)=0,"",$A21+VLOOKUP(AR21,Schichten!$A$5:$G$24,3,FALSE())))</f>
        <v/>
      </c>
      <c r="AV21" s="28" t="str">
        <f aca="false">IF(AU21="","",$A21+VLOOKUP(AR21,Schichten!$A$5:$G$24,4,FALSE())+IF(VLOOKUP(AR21,Schichten!$A$5:$G$24,4,FALSE())&lt;=VLOOKUP(AR21,Schichten!$A$5:$G$24,3,FALSE()),1,0))</f>
        <v/>
      </c>
      <c r="AW21" s="28" t="str">
        <f aca="false">IF($A21="","",IF(N(AS20)&gt;0,AV20,AW20))</f>
        <v/>
      </c>
      <c r="AX21" s="27" t="str">
        <f aca="false">IF(OR(AU21="",AW21=""),"",(AU21-AW21)*24)</f>
        <v/>
      </c>
      <c r="AY21" s="21" t="n">
        <f aca="false">IF($A21="","",IF(N(AS21)&gt;0,N(AY20)+1,0))</f>
        <v>0</v>
      </c>
      <c r="AZ21" s="21" t="n">
        <f aca="false">IF($A21="","",IF(N(AT21)&gt;0,N(AZ20)+1,0))</f>
        <v>0</v>
      </c>
      <c r="BA21" s="21" t="n">
        <f aca="false">IF($A21="","",IF(WEEKDAY($A21,2)&lt;&gt;7,"",IF(AND(OR(AU21="",N(AU21)&gt;=$A21+16/24,N(AV21)&lt;=$A21+6/24),OR(AW21="",N(AW21)&lt;=$A21+6/24)),1,0)))</f>
        <v>1</v>
      </c>
    </row>
    <row r="22" customFormat="false" ht="15" hidden="false" customHeight="false" outlineLevel="0" collapsed="false">
      <c r="A22" s="25" t="n">
        <f aca="false">IF(YEAR(DATE(Einstellungen!$C$4,1,1)+17)=Einstellungen!$C$4,DATE(Einstellungen!$C$4,1,1)+17,"")</f>
        <v>46405</v>
      </c>
      <c r="B22" s="26" t="str">
        <f aca="false">IF($A22="","",CHOOSE(WEEKDAY($A22,2),"Mo","Di","Mi","Do","Fr","Sa","So"))</f>
        <v>Mo</v>
      </c>
      <c r="C22" s="26" t="n">
        <f aca="false">IF($A22="","",MONTH($A22))</f>
        <v>1</v>
      </c>
      <c r="D22" s="26" t="str">
        <f aca="false">IF($A22="","",IF(INDEX(Muster!$C$6:$BF$6,1,MOD($A22-Einstellungen!$C$6,Einstellungen!$C$7)+1)="","-",INDEX(Muster!$C$6:$BF$6,1,MOD($A22-Einstellungen!$C$6,Einstellungen!$C$7)+1)))</f>
        <v>-</v>
      </c>
      <c r="E22" s="27" t="n">
        <f aca="false">IF($A22="","",IFERROR(VLOOKUP(D22,Schichten!$A$5:$G$24,6,FALSE()),0))</f>
        <v>0</v>
      </c>
      <c r="F22" s="27" t="n">
        <f aca="false">IF($A22="","",IFERROR(VLOOKUP(D22,Schichten!$A$5:$G$24,7,FALSE()),0))</f>
        <v>0</v>
      </c>
      <c r="G22" s="28" t="str">
        <f aca="false">IF($A22="","",IF(N(E22)=0,"",$A22+VLOOKUP(D22,Schichten!$A$5:$G$24,3,FALSE())))</f>
        <v/>
      </c>
      <c r="H22" s="28" t="str">
        <f aca="false">IF(G22="","",$A22+VLOOKUP(D22,Schichten!$A$5:$G$24,4,FALSE())+IF(VLOOKUP(D22,Schichten!$A$5:$G$24,4,FALSE())&lt;=VLOOKUP(D22,Schichten!$A$5:$G$24,3,FALSE()),1,0))</f>
        <v/>
      </c>
      <c r="I22" s="28" t="n">
        <f aca="false">IF($A22="","",IF(N(E21)&gt;0,H21,I21))</f>
        <v>46405.25</v>
      </c>
      <c r="J22" s="27" t="str">
        <f aca="false">IF(OR(G22="",I22=""),"",(G22-I22)*24)</f>
        <v/>
      </c>
      <c r="K22" s="21" t="n">
        <f aca="false">IF($A22="","",IF(N(E22)&gt;0,N(K21)+1,0))</f>
        <v>0</v>
      </c>
      <c r="L22" s="21" t="n">
        <f aca="false">IF($A22="","",IF(N(F22)&gt;0,N(L21)+1,0))</f>
        <v>0</v>
      </c>
      <c r="M22" s="21" t="str">
        <f aca="false">IF($A22="","",IF(WEEKDAY($A22,2)&lt;&gt;7,"",IF(AND(OR(G22="",N(G22)&gt;=$A22+16/24,N(H22)&lt;=$A22+6/24),OR(I22="",N(I22)&lt;=$A22+6/24)),1,0)))</f>
        <v/>
      </c>
      <c r="N22" s="26" t="str">
        <f aca="false">IF($A22="","",IF(INDEX(Muster!$C$7:$BF$7,1,MOD($A22-Einstellungen!$C$6,Einstellungen!$C$7)+1)="","-",INDEX(Muster!$C$7:$BF$7,1,MOD($A22-Einstellungen!$C$6,Einstellungen!$C$7)+1)))</f>
        <v>N</v>
      </c>
      <c r="O22" s="27" t="n">
        <f aca="false">IF($A22="","",IFERROR(VLOOKUP(N22,Schichten!$A$5:$G$24,6,FALSE()),0))</f>
        <v>8</v>
      </c>
      <c r="P22" s="27" t="n">
        <f aca="false">IF($A22="","",IFERROR(VLOOKUP(N22,Schichten!$A$5:$G$24,7,FALSE()),0))</f>
        <v>7</v>
      </c>
      <c r="Q22" s="28" t="n">
        <f aca="false">IF($A22="","",IF(N(O22)=0,"",$A22+VLOOKUP(N22,Schichten!$A$5:$G$24,3,FALSE())))</f>
        <v>46405.9166666667</v>
      </c>
      <c r="R22" s="28" t="n">
        <f aca="false">IF(Q22="","",$A22+VLOOKUP(N22,Schichten!$A$5:$G$24,4,FALSE())+IF(VLOOKUP(N22,Schichten!$A$5:$G$24,4,FALSE())&lt;=VLOOKUP(N22,Schichten!$A$5:$G$24,3,FALSE()),1,0))</f>
        <v>46406.25</v>
      </c>
      <c r="S22" s="28" t="n">
        <f aca="false">IF($A22="","",IF(N(O21)&gt;0,R21,S21))</f>
        <v>46404.9166666667</v>
      </c>
      <c r="T22" s="27" t="n">
        <f aca="false">IF(OR(Q22="",S22=""),"",(Q22-S22)*24)</f>
        <v>24</v>
      </c>
      <c r="U22" s="21" t="n">
        <f aca="false">IF($A22="","",IF(N(O22)&gt;0,N(U21)+1,0))</f>
        <v>5</v>
      </c>
      <c r="V22" s="21" t="n">
        <f aca="false">IF($A22="","",IF(N(P22)&gt;0,N(V21)+1,0))</f>
        <v>1</v>
      </c>
      <c r="W22" s="21" t="str">
        <f aca="false">IF($A22="","",IF(WEEKDAY($A22,2)&lt;&gt;7,"",IF(AND(OR(Q22="",N(Q22)&gt;=$A22+16/24,N(R22)&lt;=$A22+6/24),OR(S22="",N(S22)&lt;=$A22+6/24)),1,0)))</f>
        <v/>
      </c>
      <c r="X22" s="26" t="str">
        <f aca="false">IF($A22="","",IF(INDEX(Muster!$C$8:$BF$8,1,MOD($A22-Einstellungen!$C$6,Einstellungen!$C$7)+1)="","-",INDEX(Muster!$C$8:$BF$8,1,MOD($A22-Einstellungen!$C$6,Einstellungen!$C$7)+1)))</f>
        <v>S</v>
      </c>
      <c r="Y22" s="27" t="n">
        <f aca="false">IF($A22="","",IFERROR(VLOOKUP(X22,Schichten!$A$5:$G$24,6,FALSE()),0))</f>
        <v>8</v>
      </c>
      <c r="Z22" s="27" t="n">
        <f aca="false">IF($A22="","",IFERROR(VLOOKUP(X22,Schichten!$A$5:$G$24,7,FALSE()),0))</f>
        <v>0</v>
      </c>
      <c r="AA22" s="28" t="n">
        <f aca="false">IF($A22="","",IF(N(Y22)=0,"",$A22+VLOOKUP(X22,Schichten!$A$5:$G$24,3,FALSE())))</f>
        <v>46405.5833333333</v>
      </c>
      <c r="AB22" s="28" t="n">
        <f aca="false">IF(AA22="","",$A22+VLOOKUP(X22,Schichten!$A$5:$G$24,4,FALSE())+IF(VLOOKUP(X22,Schichten!$A$5:$G$24,4,FALSE())&lt;=VLOOKUP(X22,Schichten!$A$5:$G$24,3,FALSE()),1,0))</f>
        <v>46405.9166666667</v>
      </c>
      <c r="AC22" s="28" t="n">
        <f aca="false">IF($A22="","",IF(N(Y21)&gt;0,AB21,AC21))</f>
        <v>46404.5833333333</v>
      </c>
      <c r="AD22" s="27" t="n">
        <f aca="false">IF(OR(AA22="",AC22=""),"",(AA22-AC22)*24)</f>
        <v>24</v>
      </c>
      <c r="AE22" s="21" t="n">
        <f aca="false">IF($A22="","",IF(N(Y22)&gt;0,N(AE21)+1,0))</f>
        <v>3</v>
      </c>
      <c r="AF22" s="21" t="n">
        <f aca="false">IF($A22="","",IF(N(Z22)&gt;0,N(AF21)+1,0))</f>
        <v>0</v>
      </c>
      <c r="AG22" s="21" t="str">
        <f aca="false">IF($A22="","",IF(WEEKDAY($A22,2)&lt;&gt;7,"",IF(AND(OR(AA22="",N(AA22)&gt;=$A22+16/24,N(AB22)&lt;=$A22+6/24),OR(AC22="",N(AC22)&lt;=$A22+6/24)),1,0)))</f>
        <v/>
      </c>
      <c r="AH22" s="26" t="str">
        <f aca="false">IF($A22="","",IF(INDEX(Muster!$C$9:$BF$9,1,MOD($A22-Einstellungen!$C$6,Einstellungen!$C$7)+1)="","-",INDEX(Muster!$C$9:$BF$9,1,MOD($A22-Einstellungen!$C$6,Einstellungen!$C$7)+1)))</f>
        <v>F</v>
      </c>
      <c r="AI22" s="27" t="n">
        <f aca="false">IF($A22="","",IFERROR(VLOOKUP(AH22,Schichten!$A$5:$G$24,6,FALSE()),0))</f>
        <v>8</v>
      </c>
      <c r="AJ22" s="27" t="n">
        <f aca="false">IF($A22="","",IFERROR(VLOOKUP(AH22,Schichten!$A$5:$G$24,7,FALSE()),0))</f>
        <v>0</v>
      </c>
      <c r="AK22" s="28" t="n">
        <f aca="false">IF($A22="","",IF(N(AI22)=0,"",$A22+VLOOKUP(AH22,Schichten!$A$5:$G$24,3,FALSE())))</f>
        <v>46405.25</v>
      </c>
      <c r="AL22" s="28" t="n">
        <f aca="false">IF(AK22="","",$A22+VLOOKUP(AH22,Schichten!$A$5:$G$24,4,FALSE())+IF(VLOOKUP(AH22,Schichten!$A$5:$G$24,4,FALSE())&lt;=VLOOKUP(AH22,Schichten!$A$5:$G$24,3,FALSE()),1,0))</f>
        <v>46405.5833333333</v>
      </c>
      <c r="AM22" s="28" t="n">
        <f aca="false">IF($A22="","",IF(N(AI21)&gt;0,AL21,AM21))</f>
        <v>46403.25</v>
      </c>
      <c r="AN22" s="27" t="n">
        <f aca="false">IF(OR(AK22="",AM22=""),"",(AK22-AM22)*24)</f>
        <v>48</v>
      </c>
      <c r="AO22" s="21" t="n">
        <f aca="false">IF($A22="","",IF(N(AI22)&gt;0,N(AO21)+1,0))</f>
        <v>1</v>
      </c>
      <c r="AP22" s="21" t="n">
        <f aca="false">IF($A22="","",IF(N(AJ22)&gt;0,N(AP21)+1,0))</f>
        <v>0</v>
      </c>
      <c r="AQ22" s="21" t="str">
        <f aca="false">IF($A22="","",IF(WEEKDAY($A22,2)&lt;&gt;7,"",IF(AND(OR(AK22="",N(AK22)&gt;=$A22+16/24,N(AL22)&lt;=$A22+6/24),OR(AM22="",N(AM22)&lt;=$A22+6/24)),1,0)))</f>
        <v/>
      </c>
      <c r="AR22" s="26" t="str">
        <f aca="false">IF($A22="","",IF(INDEX(Muster!$C$10:$BF$10,1,MOD($A22-Einstellungen!$C$6,Einstellungen!$C$7)+1)="","-",INDEX(Muster!$C$10:$BF$10,1,MOD($A22-Einstellungen!$C$6,Einstellungen!$C$7)+1)))</f>
        <v>-</v>
      </c>
      <c r="AS22" s="27" t="n">
        <f aca="false">IF($A22="","",IFERROR(VLOOKUP(AR22,Schichten!$A$5:$G$24,6,FALSE()),0))</f>
        <v>0</v>
      </c>
      <c r="AT22" s="27" t="n">
        <f aca="false">IF($A22="","",IFERROR(VLOOKUP(AR22,Schichten!$A$5:$G$24,7,FALSE()),0))</f>
        <v>0</v>
      </c>
      <c r="AU22" s="28" t="str">
        <f aca="false">IF($A22="","",IF(N(AS22)=0,"",$A22+VLOOKUP(AR22,Schichten!$A$5:$G$24,3,FALSE())))</f>
        <v/>
      </c>
      <c r="AV22" s="28" t="str">
        <f aca="false">IF(AU22="","",$A22+VLOOKUP(AR22,Schichten!$A$5:$G$24,4,FALSE())+IF(VLOOKUP(AR22,Schichten!$A$5:$G$24,4,FALSE())&lt;=VLOOKUP(AR22,Schichten!$A$5:$G$24,3,FALSE()),1,0))</f>
        <v/>
      </c>
      <c r="AW22" s="28" t="str">
        <f aca="false">IF($A22="","",IF(N(AS21)&gt;0,AV21,AW21))</f>
        <v/>
      </c>
      <c r="AX22" s="27" t="str">
        <f aca="false">IF(OR(AU22="",AW22=""),"",(AU22-AW22)*24)</f>
        <v/>
      </c>
      <c r="AY22" s="21" t="n">
        <f aca="false">IF($A22="","",IF(N(AS22)&gt;0,N(AY21)+1,0))</f>
        <v>0</v>
      </c>
      <c r="AZ22" s="21" t="n">
        <f aca="false">IF($A22="","",IF(N(AT22)&gt;0,N(AZ21)+1,0))</f>
        <v>0</v>
      </c>
      <c r="BA22" s="21" t="str">
        <f aca="false">IF($A22="","",IF(WEEKDAY($A22,2)&lt;&gt;7,"",IF(AND(OR(AU22="",N(AU22)&gt;=$A22+16/24,N(AV22)&lt;=$A22+6/24),OR(AW22="",N(AW22)&lt;=$A22+6/24)),1,0)))</f>
        <v/>
      </c>
    </row>
    <row r="23" customFormat="false" ht="15" hidden="false" customHeight="false" outlineLevel="0" collapsed="false">
      <c r="A23" s="25" t="n">
        <f aca="false">IF(YEAR(DATE(Einstellungen!$C$4,1,1)+18)=Einstellungen!$C$4,DATE(Einstellungen!$C$4,1,1)+18,"")</f>
        <v>46406</v>
      </c>
      <c r="B23" s="26" t="str">
        <f aca="false">IF($A23="","",CHOOSE(WEEKDAY($A23,2),"Mo","Di","Mi","Do","Fr","Sa","So"))</f>
        <v>Di</v>
      </c>
      <c r="C23" s="26" t="n">
        <f aca="false">IF($A23="","",MONTH($A23))</f>
        <v>1</v>
      </c>
      <c r="D23" s="26" t="str">
        <f aca="false">IF($A23="","",IF(INDEX(Muster!$C$6:$BF$6,1,MOD($A23-Einstellungen!$C$6,Einstellungen!$C$7)+1)="","-",INDEX(Muster!$C$6:$BF$6,1,MOD($A23-Einstellungen!$C$6,Einstellungen!$C$7)+1)))</f>
        <v>-</v>
      </c>
      <c r="E23" s="27" t="n">
        <f aca="false">IF($A23="","",IFERROR(VLOOKUP(D23,Schichten!$A$5:$G$24,6,FALSE()),0))</f>
        <v>0</v>
      </c>
      <c r="F23" s="27" t="n">
        <f aca="false">IF($A23="","",IFERROR(VLOOKUP(D23,Schichten!$A$5:$G$24,7,FALSE()),0))</f>
        <v>0</v>
      </c>
      <c r="G23" s="28" t="str">
        <f aca="false">IF($A23="","",IF(N(E23)=0,"",$A23+VLOOKUP(D23,Schichten!$A$5:$G$24,3,FALSE())))</f>
        <v/>
      </c>
      <c r="H23" s="28" t="str">
        <f aca="false">IF(G23="","",$A23+VLOOKUP(D23,Schichten!$A$5:$G$24,4,FALSE())+IF(VLOOKUP(D23,Schichten!$A$5:$G$24,4,FALSE())&lt;=VLOOKUP(D23,Schichten!$A$5:$G$24,3,FALSE()),1,0))</f>
        <v/>
      </c>
      <c r="I23" s="28" t="n">
        <f aca="false">IF($A23="","",IF(N(E22)&gt;0,H22,I22))</f>
        <v>46405.25</v>
      </c>
      <c r="J23" s="27" t="str">
        <f aca="false">IF(OR(G23="",I23=""),"",(G23-I23)*24)</f>
        <v/>
      </c>
      <c r="K23" s="21" t="n">
        <f aca="false">IF($A23="","",IF(N(E23)&gt;0,N(K22)+1,0))</f>
        <v>0</v>
      </c>
      <c r="L23" s="21" t="n">
        <f aca="false">IF($A23="","",IF(N(F23)&gt;0,N(L22)+1,0))</f>
        <v>0</v>
      </c>
      <c r="M23" s="21" t="str">
        <f aca="false">IF($A23="","",IF(WEEKDAY($A23,2)&lt;&gt;7,"",IF(AND(OR(G23="",N(G23)&gt;=$A23+16/24,N(H23)&lt;=$A23+6/24),OR(I23="",N(I23)&lt;=$A23+6/24)),1,0)))</f>
        <v/>
      </c>
      <c r="N23" s="26" t="str">
        <f aca="false">IF($A23="","",IF(INDEX(Muster!$C$7:$BF$7,1,MOD($A23-Einstellungen!$C$6,Einstellungen!$C$7)+1)="","-",INDEX(Muster!$C$7:$BF$7,1,MOD($A23-Einstellungen!$C$6,Einstellungen!$C$7)+1)))</f>
        <v>N</v>
      </c>
      <c r="O23" s="27" t="n">
        <f aca="false">IF($A23="","",IFERROR(VLOOKUP(N23,Schichten!$A$5:$G$24,6,FALSE()),0))</f>
        <v>8</v>
      </c>
      <c r="P23" s="27" t="n">
        <f aca="false">IF($A23="","",IFERROR(VLOOKUP(N23,Schichten!$A$5:$G$24,7,FALSE()),0))</f>
        <v>7</v>
      </c>
      <c r="Q23" s="28" t="n">
        <f aca="false">IF($A23="","",IF(N(O23)=0,"",$A23+VLOOKUP(N23,Schichten!$A$5:$G$24,3,FALSE())))</f>
        <v>46406.9166666667</v>
      </c>
      <c r="R23" s="28" t="n">
        <f aca="false">IF(Q23="","",$A23+VLOOKUP(N23,Schichten!$A$5:$G$24,4,FALSE())+IF(VLOOKUP(N23,Schichten!$A$5:$G$24,4,FALSE())&lt;=VLOOKUP(N23,Schichten!$A$5:$G$24,3,FALSE()),1,0))</f>
        <v>46407.25</v>
      </c>
      <c r="S23" s="28" t="n">
        <f aca="false">IF($A23="","",IF(N(O22)&gt;0,R22,S22))</f>
        <v>46406.25</v>
      </c>
      <c r="T23" s="27" t="n">
        <f aca="false">IF(OR(Q23="",S23=""),"",(Q23-S23)*24)</f>
        <v>16</v>
      </c>
      <c r="U23" s="21" t="n">
        <f aca="false">IF($A23="","",IF(N(O23)&gt;0,N(U22)+1,0))</f>
        <v>6</v>
      </c>
      <c r="V23" s="21" t="n">
        <f aca="false">IF($A23="","",IF(N(P23)&gt;0,N(V22)+1,0))</f>
        <v>2</v>
      </c>
      <c r="W23" s="21" t="str">
        <f aca="false">IF($A23="","",IF(WEEKDAY($A23,2)&lt;&gt;7,"",IF(AND(OR(Q23="",N(Q23)&gt;=$A23+16/24,N(R23)&lt;=$A23+6/24),OR(S23="",N(S23)&lt;=$A23+6/24)),1,0)))</f>
        <v/>
      </c>
      <c r="X23" s="26" t="str">
        <f aca="false">IF($A23="","",IF(INDEX(Muster!$C$8:$BF$8,1,MOD($A23-Einstellungen!$C$6,Einstellungen!$C$7)+1)="","-",INDEX(Muster!$C$8:$BF$8,1,MOD($A23-Einstellungen!$C$6,Einstellungen!$C$7)+1)))</f>
        <v>S</v>
      </c>
      <c r="Y23" s="27" t="n">
        <f aca="false">IF($A23="","",IFERROR(VLOOKUP(X23,Schichten!$A$5:$G$24,6,FALSE()),0))</f>
        <v>8</v>
      </c>
      <c r="Z23" s="27" t="n">
        <f aca="false">IF($A23="","",IFERROR(VLOOKUP(X23,Schichten!$A$5:$G$24,7,FALSE()),0))</f>
        <v>0</v>
      </c>
      <c r="AA23" s="28" t="n">
        <f aca="false">IF($A23="","",IF(N(Y23)=0,"",$A23+VLOOKUP(X23,Schichten!$A$5:$G$24,3,FALSE())))</f>
        <v>46406.5833333333</v>
      </c>
      <c r="AB23" s="28" t="n">
        <f aca="false">IF(AA23="","",$A23+VLOOKUP(X23,Schichten!$A$5:$G$24,4,FALSE())+IF(VLOOKUP(X23,Schichten!$A$5:$G$24,4,FALSE())&lt;=VLOOKUP(X23,Schichten!$A$5:$G$24,3,FALSE()),1,0))</f>
        <v>46406.9166666667</v>
      </c>
      <c r="AC23" s="28" t="n">
        <f aca="false">IF($A23="","",IF(N(Y22)&gt;0,AB22,AC22))</f>
        <v>46405.9166666667</v>
      </c>
      <c r="AD23" s="27" t="n">
        <f aca="false">IF(OR(AA23="",AC23=""),"",(AA23-AC23)*24)</f>
        <v>16</v>
      </c>
      <c r="AE23" s="21" t="n">
        <f aca="false">IF($A23="","",IF(N(Y23)&gt;0,N(AE22)+1,0))</f>
        <v>4</v>
      </c>
      <c r="AF23" s="21" t="n">
        <f aca="false">IF($A23="","",IF(N(Z23)&gt;0,N(AF22)+1,0))</f>
        <v>0</v>
      </c>
      <c r="AG23" s="21" t="str">
        <f aca="false">IF($A23="","",IF(WEEKDAY($A23,2)&lt;&gt;7,"",IF(AND(OR(AA23="",N(AA23)&gt;=$A23+16/24,N(AB23)&lt;=$A23+6/24),OR(AC23="",N(AC23)&lt;=$A23+6/24)),1,0)))</f>
        <v/>
      </c>
      <c r="AH23" s="26" t="str">
        <f aca="false">IF($A23="","",IF(INDEX(Muster!$C$9:$BF$9,1,MOD($A23-Einstellungen!$C$6,Einstellungen!$C$7)+1)="","-",INDEX(Muster!$C$9:$BF$9,1,MOD($A23-Einstellungen!$C$6,Einstellungen!$C$7)+1)))</f>
        <v>F</v>
      </c>
      <c r="AI23" s="27" t="n">
        <f aca="false">IF($A23="","",IFERROR(VLOOKUP(AH23,Schichten!$A$5:$G$24,6,FALSE()),0))</f>
        <v>8</v>
      </c>
      <c r="AJ23" s="27" t="n">
        <f aca="false">IF($A23="","",IFERROR(VLOOKUP(AH23,Schichten!$A$5:$G$24,7,FALSE()),0))</f>
        <v>0</v>
      </c>
      <c r="AK23" s="28" t="n">
        <f aca="false">IF($A23="","",IF(N(AI23)=0,"",$A23+VLOOKUP(AH23,Schichten!$A$5:$G$24,3,FALSE())))</f>
        <v>46406.25</v>
      </c>
      <c r="AL23" s="28" t="n">
        <f aca="false">IF(AK23="","",$A23+VLOOKUP(AH23,Schichten!$A$5:$G$24,4,FALSE())+IF(VLOOKUP(AH23,Schichten!$A$5:$G$24,4,FALSE())&lt;=VLOOKUP(AH23,Schichten!$A$5:$G$24,3,FALSE()),1,0))</f>
        <v>46406.5833333333</v>
      </c>
      <c r="AM23" s="28" t="n">
        <f aca="false">IF($A23="","",IF(N(AI22)&gt;0,AL22,AM22))</f>
        <v>46405.5833333333</v>
      </c>
      <c r="AN23" s="27" t="n">
        <f aca="false">IF(OR(AK23="",AM23=""),"",(AK23-AM23)*24)</f>
        <v>16</v>
      </c>
      <c r="AO23" s="21" t="n">
        <f aca="false">IF($A23="","",IF(N(AI23)&gt;0,N(AO22)+1,0))</f>
        <v>2</v>
      </c>
      <c r="AP23" s="21" t="n">
        <f aca="false">IF($A23="","",IF(N(AJ23)&gt;0,N(AP22)+1,0))</f>
        <v>0</v>
      </c>
      <c r="AQ23" s="21" t="str">
        <f aca="false">IF($A23="","",IF(WEEKDAY($A23,2)&lt;&gt;7,"",IF(AND(OR(AK23="",N(AK23)&gt;=$A23+16/24,N(AL23)&lt;=$A23+6/24),OR(AM23="",N(AM23)&lt;=$A23+6/24)),1,0)))</f>
        <v/>
      </c>
      <c r="AR23" s="26" t="str">
        <f aca="false">IF($A23="","",IF(INDEX(Muster!$C$10:$BF$10,1,MOD($A23-Einstellungen!$C$6,Einstellungen!$C$7)+1)="","-",INDEX(Muster!$C$10:$BF$10,1,MOD($A23-Einstellungen!$C$6,Einstellungen!$C$7)+1)))</f>
        <v>-</v>
      </c>
      <c r="AS23" s="27" t="n">
        <f aca="false">IF($A23="","",IFERROR(VLOOKUP(AR23,Schichten!$A$5:$G$24,6,FALSE()),0))</f>
        <v>0</v>
      </c>
      <c r="AT23" s="27" t="n">
        <f aca="false">IF($A23="","",IFERROR(VLOOKUP(AR23,Schichten!$A$5:$G$24,7,FALSE()),0))</f>
        <v>0</v>
      </c>
      <c r="AU23" s="28" t="str">
        <f aca="false">IF($A23="","",IF(N(AS23)=0,"",$A23+VLOOKUP(AR23,Schichten!$A$5:$G$24,3,FALSE())))</f>
        <v/>
      </c>
      <c r="AV23" s="28" t="str">
        <f aca="false">IF(AU23="","",$A23+VLOOKUP(AR23,Schichten!$A$5:$G$24,4,FALSE())+IF(VLOOKUP(AR23,Schichten!$A$5:$G$24,4,FALSE())&lt;=VLOOKUP(AR23,Schichten!$A$5:$G$24,3,FALSE()),1,0))</f>
        <v/>
      </c>
      <c r="AW23" s="28" t="str">
        <f aca="false">IF($A23="","",IF(N(AS22)&gt;0,AV22,AW22))</f>
        <v/>
      </c>
      <c r="AX23" s="27" t="str">
        <f aca="false">IF(OR(AU23="",AW23=""),"",(AU23-AW23)*24)</f>
        <v/>
      </c>
      <c r="AY23" s="21" t="n">
        <f aca="false">IF($A23="","",IF(N(AS23)&gt;0,N(AY22)+1,0))</f>
        <v>0</v>
      </c>
      <c r="AZ23" s="21" t="n">
        <f aca="false">IF($A23="","",IF(N(AT23)&gt;0,N(AZ22)+1,0))</f>
        <v>0</v>
      </c>
      <c r="BA23" s="21" t="str">
        <f aca="false">IF($A23="","",IF(WEEKDAY($A23,2)&lt;&gt;7,"",IF(AND(OR(AU23="",N(AU23)&gt;=$A23+16/24,N(AV23)&lt;=$A23+6/24),OR(AW23="",N(AW23)&lt;=$A23+6/24)),1,0)))</f>
        <v/>
      </c>
    </row>
    <row r="24" customFormat="false" ht="15" hidden="false" customHeight="false" outlineLevel="0" collapsed="false">
      <c r="A24" s="25" t="n">
        <f aca="false">IF(YEAR(DATE(Einstellungen!$C$4,1,1)+19)=Einstellungen!$C$4,DATE(Einstellungen!$C$4,1,1)+19,"")</f>
        <v>46407</v>
      </c>
      <c r="B24" s="26" t="str">
        <f aca="false">IF($A24="","",CHOOSE(WEEKDAY($A24,2),"Mo","Di","Mi","Do","Fr","Sa","So"))</f>
        <v>Mi</v>
      </c>
      <c r="C24" s="26" t="n">
        <f aca="false">IF($A24="","",MONTH($A24))</f>
        <v>1</v>
      </c>
      <c r="D24" s="26" t="str">
        <f aca="false">IF($A24="","",IF(INDEX(Muster!$C$6:$BF$6,1,MOD($A24-Einstellungen!$C$6,Einstellungen!$C$7)+1)="","-",INDEX(Muster!$C$6:$BF$6,1,MOD($A24-Einstellungen!$C$6,Einstellungen!$C$7)+1)))</f>
        <v>F</v>
      </c>
      <c r="E24" s="27" t="n">
        <f aca="false">IF($A24="","",IFERROR(VLOOKUP(D24,Schichten!$A$5:$G$24,6,FALSE()),0))</f>
        <v>8</v>
      </c>
      <c r="F24" s="27" t="n">
        <f aca="false">IF($A24="","",IFERROR(VLOOKUP(D24,Schichten!$A$5:$G$24,7,FALSE()),0))</f>
        <v>0</v>
      </c>
      <c r="G24" s="28" t="n">
        <f aca="false">IF($A24="","",IF(N(E24)=0,"",$A24+VLOOKUP(D24,Schichten!$A$5:$G$24,3,FALSE())))</f>
        <v>46407.25</v>
      </c>
      <c r="H24" s="28" t="n">
        <f aca="false">IF(G24="","",$A24+VLOOKUP(D24,Schichten!$A$5:$G$24,4,FALSE())+IF(VLOOKUP(D24,Schichten!$A$5:$G$24,4,FALSE())&lt;=VLOOKUP(D24,Schichten!$A$5:$G$24,3,FALSE()),1,0))</f>
        <v>46407.5833333333</v>
      </c>
      <c r="I24" s="28" t="n">
        <f aca="false">IF($A24="","",IF(N(E23)&gt;0,H23,I23))</f>
        <v>46405.25</v>
      </c>
      <c r="J24" s="27" t="n">
        <f aca="false">IF(OR(G24="",I24=""),"",(G24-I24)*24)</f>
        <v>48</v>
      </c>
      <c r="K24" s="21" t="n">
        <f aca="false">IF($A24="","",IF(N(E24)&gt;0,N(K23)+1,0))</f>
        <v>1</v>
      </c>
      <c r="L24" s="21" t="n">
        <f aca="false">IF($A24="","",IF(N(F24)&gt;0,N(L23)+1,0))</f>
        <v>0</v>
      </c>
      <c r="M24" s="21" t="str">
        <f aca="false">IF($A24="","",IF(WEEKDAY($A24,2)&lt;&gt;7,"",IF(AND(OR(G24="",N(G24)&gt;=$A24+16/24,N(H24)&lt;=$A24+6/24),OR(I24="",N(I24)&lt;=$A24+6/24)),1,0)))</f>
        <v/>
      </c>
      <c r="N24" s="26" t="str">
        <f aca="false">IF($A24="","",IF(INDEX(Muster!$C$7:$BF$7,1,MOD($A24-Einstellungen!$C$6,Einstellungen!$C$7)+1)="","-",INDEX(Muster!$C$7:$BF$7,1,MOD($A24-Einstellungen!$C$6,Einstellungen!$C$7)+1)))</f>
        <v>-</v>
      </c>
      <c r="O24" s="27" t="n">
        <f aca="false">IF($A24="","",IFERROR(VLOOKUP(N24,Schichten!$A$5:$G$24,6,FALSE()),0))</f>
        <v>0</v>
      </c>
      <c r="P24" s="27" t="n">
        <f aca="false">IF($A24="","",IFERROR(VLOOKUP(N24,Schichten!$A$5:$G$24,7,FALSE()),0))</f>
        <v>0</v>
      </c>
      <c r="Q24" s="28" t="str">
        <f aca="false">IF($A24="","",IF(N(O24)=0,"",$A24+VLOOKUP(N24,Schichten!$A$5:$G$24,3,FALSE())))</f>
        <v/>
      </c>
      <c r="R24" s="28" t="str">
        <f aca="false">IF(Q24="","",$A24+VLOOKUP(N24,Schichten!$A$5:$G$24,4,FALSE())+IF(VLOOKUP(N24,Schichten!$A$5:$G$24,4,FALSE())&lt;=VLOOKUP(N24,Schichten!$A$5:$G$24,3,FALSE()),1,0))</f>
        <v/>
      </c>
      <c r="S24" s="28" t="n">
        <f aca="false">IF($A24="","",IF(N(O23)&gt;0,R23,S23))</f>
        <v>46407.25</v>
      </c>
      <c r="T24" s="27" t="str">
        <f aca="false">IF(OR(Q24="",S24=""),"",(Q24-S24)*24)</f>
        <v/>
      </c>
      <c r="U24" s="21" t="n">
        <f aca="false">IF($A24="","",IF(N(O24)&gt;0,N(U23)+1,0))</f>
        <v>0</v>
      </c>
      <c r="V24" s="21" t="n">
        <f aca="false">IF($A24="","",IF(N(P24)&gt;0,N(V23)+1,0))</f>
        <v>0</v>
      </c>
      <c r="W24" s="21" t="str">
        <f aca="false">IF($A24="","",IF(WEEKDAY($A24,2)&lt;&gt;7,"",IF(AND(OR(Q24="",N(Q24)&gt;=$A24+16/24,N(R24)&lt;=$A24+6/24),OR(S24="",N(S24)&lt;=$A24+6/24)),1,0)))</f>
        <v/>
      </c>
      <c r="X24" s="26" t="str">
        <f aca="false">IF($A24="","",IF(INDEX(Muster!$C$8:$BF$8,1,MOD($A24-Einstellungen!$C$6,Einstellungen!$C$7)+1)="","-",INDEX(Muster!$C$8:$BF$8,1,MOD($A24-Einstellungen!$C$6,Einstellungen!$C$7)+1)))</f>
        <v>N</v>
      </c>
      <c r="Y24" s="27" t="n">
        <f aca="false">IF($A24="","",IFERROR(VLOOKUP(X24,Schichten!$A$5:$G$24,6,FALSE()),0))</f>
        <v>8</v>
      </c>
      <c r="Z24" s="27" t="n">
        <f aca="false">IF($A24="","",IFERROR(VLOOKUP(X24,Schichten!$A$5:$G$24,7,FALSE()),0))</f>
        <v>7</v>
      </c>
      <c r="AA24" s="28" t="n">
        <f aca="false">IF($A24="","",IF(N(Y24)=0,"",$A24+VLOOKUP(X24,Schichten!$A$5:$G$24,3,FALSE())))</f>
        <v>46407.9166666667</v>
      </c>
      <c r="AB24" s="28" t="n">
        <f aca="false">IF(AA24="","",$A24+VLOOKUP(X24,Schichten!$A$5:$G$24,4,FALSE())+IF(VLOOKUP(X24,Schichten!$A$5:$G$24,4,FALSE())&lt;=VLOOKUP(X24,Schichten!$A$5:$G$24,3,FALSE()),1,0))</f>
        <v>46408.25</v>
      </c>
      <c r="AC24" s="28" t="n">
        <f aca="false">IF($A24="","",IF(N(Y23)&gt;0,AB23,AC23))</f>
        <v>46406.9166666667</v>
      </c>
      <c r="AD24" s="27" t="n">
        <f aca="false">IF(OR(AA24="",AC24=""),"",(AA24-AC24)*24)</f>
        <v>24</v>
      </c>
      <c r="AE24" s="21" t="n">
        <f aca="false">IF($A24="","",IF(N(Y24)&gt;0,N(AE23)+1,0))</f>
        <v>5</v>
      </c>
      <c r="AF24" s="21" t="n">
        <f aca="false">IF($A24="","",IF(N(Z24)&gt;0,N(AF23)+1,0))</f>
        <v>1</v>
      </c>
      <c r="AG24" s="21" t="str">
        <f aca="false">IF($A24="","",IF(WEEKDAY($A24,2)&lt;&gt;7,"",IF(AND(OR(AA24="",N(AA24)&gt;=$A24+16/24,N(AB24)&lt;=$A24+6/24),OR(AC24="",N(AC24)&lt;=$A24+6/24)),1,0)))</f>
        <v/>
      </c>
      <c r="AH24" s="26" t="str">
        <f aca="false">IF($A24="","",IF(INDEX(Muster!$C$9:$BF$9,1,MOD($A24-Einstellungen!$C$6,Einstellungen!$C$7)+1)="","-",INDEX(Muster!$C$9:$BF$9,1,MOD($A24-Einstellungen!$C$6,Einstellungen!$C$7)+1)))</f>
        <v>S</v>
      </c>
      <c r="AI24" s="27" t="n">
        <f aca="false">IF($A24="","",IFERROR(VLOOKUP(AH24,Schichten!$A$5:$G$24,6,FALSE()),0))</f>
        <v>8</v>
      </c>
      <c r="AJ24" s="27" t="n">
        <f aca="false">IF($A24="","",IFERROR(VLOOKUP(AH24,Schichten!$A$5:$G$24,7,FALSE()),0))</f>
        <v>0</v>
      </c>
      <c r="AK24" s="28" t="n">
        <f aca="false">IF($A24="","",IF(N(AI24)=0,"",$A24+VLOOKUP(AH24,Schichten!$A$5:$G$24,3,FALSE())))</f>
        <v>46407.5833333333</v>
      </c>
      <c r="AL24" s="28" t="n">
        <f aca="false">IF(AK24="","",$A24+VLOOKUP(AH24,Schichten!$A$5:$G$24,4,FALSE())+IF(VLOOKUP(AH24,Schichten!$A$5:$G$24,4,FALSE())&lt;=VLOOKUP(AH24,Schichten!$A$5:$G$24,3,FALSE()),1,0))</f>
        <v>46407.9166666667</v>
      </c>
      <c r="AM24" s="28" t="n">
        <f aca="false">IF($A24="","",IF(N(AI23)&gt;0,AL23,AM23))</f>
        <v>46406.5833333333</v>
      </c>
      <c r="AN24" s="27" t="n">
        <f aca="false">IF(OR(AK24="",AM24=""),"",(AK24-AM24)*24)</f>
        <v>24</v>
      </c>
      <c r="AO24" s="21" t="n">
        <f aca="false">IF($A24="","",IF(N(AI24)&gt;0,N(AO23)+1,0))</f>
        <v>3</v>
      </c>
      <c r="AP24" s="21" t="n">
        <f aca="false">IF($A24="","",IF(N(AJ24)&gt;0,N(AP23)+1,0))</f>
        <v>0</v>
      </c>
      <c r="AQ24" s="21" t="str">
        <f aca="false">IF($A24="","",IF(WEEKDAY($A24,2)&lt;&gt;7,"",IF(AND(OR(AK24="",N(AK24)&gt;=$A24+16/24,N(AL24)&lt;=$A24+6/24),OR(AM24="",N(AM24)&lt;=$A24+6/24)),1,0)))</f>
        <v/>
      </c>
      <c r="AR24" s="26" t="str">
        <f aca="false">IF($A24="","",IF(INDEX(Muster!$C$10:$BF$10,1,MOD($A24-Einstellungen!$C$6,Einstellungen!$C$7)+1)="","-",INDEX(Muster!$C$10:$BF$10,1,MOD($A24-Einstellungen!$C$6,Einstellungen!$C$7)+1)))</f>
        <v>-</v>
      </c>
      <c r="AS24" s="27" t="n">
        <f aca="false">IF($A24="","",IFERROR(VLOOKUP(AR24,Schichten!$A$5:$G$24,6,FALSE()),0))</f>
        <v>0</v>
      </c>
      <c r="AT24" s="27" t="n">
        <f aca="false">IF($A24="","",IFERROR(VLOOKUP(AR24,Schichten!$A$5:$G$24,7,FALSE()),0))</f>
        <v>0</v>
      </c>
      <c r="AU24" s="28" t="str">
        <f aca="false">IF($A24="","",IF(N(AS24)=0,"",$A24+VLOOKUP(AR24,Schichten!$A$5:$G$24,3,FALSE())))</f>
        <v/>
      </c>
      <c r="AV24" s="28" t="str">
        <f aca="false">IF(AU24="","",$A24+VLOOKUP(AR24,Schichten!$A$5:$G$24,4,FALSE())+IF(VLOOKUP(AR24,Schichten!$A$5:$G$24,4,FALSE())&lt;=VLOOKUP(AR24,Schichten!$A$5:$G$24,3,FALSE()),1,0))</f>
        <v/>
      </c>
      <c r="AW24" s="28" t="str">
        <f aca="false">IF($A24="","",IF(N(AS23)&gt;0,AV23,AW23))</f>
        <v/>
      </c>
      <c r="AX24" s="27" t="str">
        <f aca="false">IF(OR(AU24="",AW24=""),"",(AU24-AW24)*24)</f>
        <v/>
      </c>
      <c r="AY24" s="21" t="n">
        <f aca="false">IF($A24="","",IF(N(AS24)&gt;0,N(AY23)+1,0))</f>
        <v>0</v>
      </c>
      <c r="AZ24" s="21" t="n">
        <f aca="false">IF($A24="","",IF(N(AT24)&gt;0,N(AZ23)+1,0))</f>
        <v>0</v>
      </c>
      <c r="BA24" s="21" t="str">
        <f aca="false">IF($A24="","",IF(WEEKDAY($A24,2)&lt;&gt;7,"",IF(AND(OR(AU24="",N(AU24)&gt;=$A24+16/24,N(AV24)&lt;=$A24+6/24),OR(AW24="",N(AW24)&lt;=$A24+6/24)),1,0)))</f>
        <v/>
      </c>
    </row>
    <row r="25" customFormat="false" ht="15" hidden="false" customHeight="false" outlineLevel="0" collapsed="false">
      <c r="A25" s="25" t="n">
        <f aca="false">IF(YEAR(DATE(Einstellungen!$C$4,1,1)+20)=Einstellungen!$C$4,DATE(Einstellungen!$C$4,1,1)+20,"")</f>
        <v>46408</v>
      </c>
      <c r="B25" s="26" t="str">
        <f aca="false">IF($A25="","",CHOOSE(WEEKDAY($A25,2),"Mo","Di","Mi","Do","Fr","Sa","So"))</f>
        <v>Do</v>
      </c>
      <c r="C25" s="26" t="n">
        <f aca="false">IF($A25="","",MONTH($A25))</f>
        <v>1</v>
      </c>
      <c r="D25" s="26" t="str">
        <f aca="false">IF($A25="","",IF(INDEX(Muster!$C$6:$BF$6,1,MOD($A25-Einstellungen!$C$6,Einstellungen!$C$7)+1)="","-",INDEX(Muster!$C$6:$BF$6,1,MOD($A25-Einstellungen!$C$6,Einstellungen!$C$7)+1)))</f>
        <v>F</v>
      </c>
      <c r="E25" s="27" t="n">
        <f aca="false">IF($A25="","",IFERROR(VLOOKUP(D25,Schichten!$A$5:$G$24,6,FALSE()),0))</f>
        <v>8</v>
      </c>
      <c r="F25" s="27" t="n">
        <f aca="false">IF($A25="","",IFERROR(VLOOKUP(D25,Schichten!$A$5:$G$24,7,FALSE()),0))</f>
        <v>0</v>
      </c>
      <c r="G25" s="28" t="n">
        <f aca="false">IF($A25="","",IF(N(E25)=0,"",$A25+VLOOKUP(D25,Schichten!$A$5:$G$24,3,FALSE())))</f>
        <v>46408.25</v>
      </c>
      <c r="H25" s="28" t="n">
        <f aca="false">IF(G25="","",$A25+VLOOKUP(D25,Schichten!$A$5:$G$24,4,FALSE())+IF(VLOOKUP(D25,Schichten!$A$5:$G$24,4,FALSE())&lt;=VLOOKUP(D25,Schichten!$A$5:$G$24,3,FALSE()),1,0))</f>
        <v>46408.5833333333</v>
      </c>
      <c r="I25" s="28" t="n">
        <f aca="false">IF($A25="","",IF(N(E24)&gt;0,H24,I24))</f>
        <v>46407.5833333333</v>
      </c>
      <c r="J25" s="27" t="n">
        <f aca="false">IF(OR(G25="",I25=""),"",(G25-I25)*24)</f>
        <v>16</v>
      </c>
      <c r="K25" s="21" t="n">
        <f aca="false">IF($A25="","",IF(N(E25)&gt;0,N(K24)+1,0))</f>
        <v>2</v>
      </c>
      <c r="L25" s="21" t="n">
        <f aca="false">IF($A25="","",IF(N(F25)&gt;0,N(L24)+1,0))</f>
        <v>0</v>
      </c>
      <c r="M25" s="21" t="str">
        <f aca="false">IF($A25="","",IF(WEEKDAY($A25,2)&lt;&gt;7,"",IF(AND(OR(G25="",N(G25)&gt;=$A25+16/24,N(H25)&lt;=$A25+6/24),OR(I25="",N(I25)&lt;=$A25+6/24)),1,0)))</f>
        <v/>
      </c>
      <c r="N25" s="26" t="str">
        <f aca="false">IF($A25="","",IF(INDEX(Muster!$C$7:$BF$7,1,MOD($A25-Einstellungen!$C$6,Einstellungen!$C$7)+1)="","-",INDEX(Muster!$C$7:$BF$7,1,MOD($A25-Einstellungen!$C$6,Einstellungen!$C$7)+1)))</f>
        <v>-</v>
      </c>
      <c r="O25" s="27" t="n">
        <f aca="false">IF($A25="","",IFERROR(VLOOKUP(N25,Schichten!$A$5:$G$24,6,FALSE()),0))</f>
        <v>0</v>
      </c>
      <c r="P25" s="27" t="n">
        <f aca="false">IF($A25="","",IFERROR(VLOOKUP(N25,Schichten!$A$5:$G$24,7,FALSE()),0))</f>
        <v>0</v>
      </c>
      <c r="Q25" s="28" t="str">
        <f aca="false">IF($A25="","",IF(N(O25)=0,"",$A25+VLOOKUP(N25,Schichten!$A$5:$G$24,3,FALSE())))</f>
        <v/>
      </c>
      <c r="R25" s="28" t="str">
        <f aca="false">IF(Q25="","",$A25+VLOOKUP(N25,Schichten!$A$5:$G$24,4,FALSE())+IF(VLOOKUP(N25,Schichten!$A$5:$G$24,4,FALSE())&lt;=VLOOKUP(N25,Schichten!$A$5:$G$24,3,FALSE()),1,0))</f>
        <v/>
      </c>
      <c r="S25" s="28" t="n">
        <f aca="false">IF($A25="","",IF(N(O24)&gt;0,R24,S24))</f>
        <v>46407.25</v>
      </c>
      <c r="T25" s="27" t="str">
        <f aca="false">IF(OR(Q25="",S25=""),"",(Q25-S25)*24)</f>
        <v/>
      </c>
      <c r="U25" s="21" t="n">
        <f aca="false">IF($A25="","",IF(N(O25)&gt;0,N(U24)+1,0))</f>
        <v>0</v>
      </c>
      <c r="V25" s="21" t="n">
        <f aca="false">IF($A25="","",IF(N(P25)&gt;0,N(V24)+1,0))</f>
        <v>0</v>
      </c>
      <c r="W25" s="21" t="str">
        <f aca="false">IF($A25="","",IF(WEEKDAY($A25,2)&lt;&gt;7,"",IF(AND(OR(Q25="",N(Q25)&gt;=$A25+16/24,N(R25)&lt;=$A25+6/24),OR(S25="",N(S25)&lt;=$A25+6/24)),1,0)))</f>
        <v/>
      </c>
      <c r="X25" s="26" t="str">
        <f aca="false">IF($A25="","",IF(INDEX(Muster!$C$8:$BF$8,1,MOD($A25-Einstellungen!$C$6,Einstellungen!$C$7)+1)="","-",INDEX(Muster!$C$8:$BF$8,1,MOD($A25-Einstellungen!$C$6,Einstellungen!$C$7)+1)))</f>
        <v>N</v>
      </c>
      <c r="Y25" s="27" t="n">
        <f aca="false">IF($A25="","",IFERROR(VLOOKUP(X25,Schichten!$A$5:$G$24,6,FALSE()),0))</f>
        <v>8</v>
      </c>
      <c r="Z25" s="27" t="n">
        <f aca="false">IF($A25="","",IFERROR(VLOOKUP(X25,Schichten!$A$5:$G$24,7,FALSE()),0))</f>
        <v>7</v>
      </c>
      <c r="AA25" s="28" t="n">
        <f aca="false">IF($A25="","",IF(N(Y25)=0,"",$A25+VLOOKUP(X25,Schichten!$A$5:$G$24,3,FALSE())))</f>
        <v>46408.9166666667</v>
      </c>
      <c r="AB25" s="28" t="n">
        <f aca="false">IF(AA25="","",$A25+VLOOKUP(X25,Schichten!$A$5:$G$24,4,FALSE())+IF(VLOOKUP(X25,Schichten!$A$5:$G$24,4,FALSE())&lt;=VLOOKUP(X25,Schichten!$A$5:$G$24,3,FALSE()),1,0))</f>
        <v>46409.25</v>
      </c>
      <c r="AC25" s="28" t="n">
        <f aca="false">IF($A25="","",IF(N(Y24)&gt;0,AB24,AC24))</f>
        <v>46408.25</v>
      </c>
      <c r="AD25" s="27" t="n">
        <f aca="false">IF(OR(AA25="",AC25=""),"",(AA25-AC25)*24)</f>
        <v>16</v>
      </c>
      <c r="AE25" s="21" t="n">
        <f aca="false">IF($A25="","",IF(N(Y25)&gt;0,N(AE24)+1,0))</f>
        <v>6</v>
      </c>
      <c r="AF25" s="21" t="n">
        <f aca="false">IF($A25="","",IF(N(Z25)&gt;0,N(AF24)+1,0))</f>
        <v>2</v>
      </c>
      <c r="AG25" s="21" t="str">
        <f aca="false">IF($A25="","",IF(WEEKDAY($A25,2)&lt;&gt;7,"",IF(AND(OR(AA25="",N(AA25)&gt;=$A25+16/24,N(AB25)&lt;=$A25+6/24),OR(AC25="",N(AC25)&lt;=$A25+6/24)),1,0)))</f>
        <v/>
      </c>
      <c r="AH25" s="26" t="str">
        <f aca="false">IF($A25="","",IF(INDEX(Muster!$C$9:$BF$9,1,MOD($A25-Einstellungen!$C$6,Einstellungen!$C$7)+1)="","-",INDEX(Muster!$C$9:$BF$9,1,MOD($A25-Einstellungen!$C$6,Einstellungen!$C$7)+1)))</f>
        <v>S</v>
      </c>
      <c r="AI25" s="27" t="n">
        <f aca="false">IF($A25="","",IFERROR(VLOOKUP(AH25,Schichten!$A$5:$G$24,6,FALSE()),0))</f>
        <v>8</v>
      </c>
      <c r="AJ25" s="27" t="n">
        <f aca="false">IF($A25="","",IFERROR(VLOOKUP(AH25,Schichten!$A$5:$G$24,7,FALSE()),0))</f>
        <v>0</v>
      </c>
      <c r="AK25" s="28" t="n">
        <f aca="false">IF($A25="","",IF(N(AI25)=0,"",$A25+VLOOKUP(AH25,Schichten!$A$5:$G$24,3,FALSE())))</f>
        <v>46408.5833333333</v>
      </c>
      <c r="AL25" s="28" t="n">
        <f aca="false">IF(AK25="","",$A25+VLOOKUP(AH25,Schichten!$A$5:$G$24,4,FALSE())+IF(VLOOKUP(AH25,Schichten!$A$5:$G$24,4,FALSE())&lt;=VLOOKUP(AH25,Schichten!$A$5:$G$24,3,FALSE()),1,0))</f>
        <v>46408.9166666667</v>
      </c>
      <c r="AM25" s="28" t="n">
        <f aca="false">IF($A25="","",IF(N(AI24)&gt;0,AL24,AM24))</f>
        <v>46407.9166666667</v>
      </c>
      <c r="AN25" s="27" t="n">
        <f aca="false">IF(OR(AK25="",AM25=""),"",(AK25-AM25)*24)</f>
        <v>16</v>
      </c>
      <c r="AO25" s="21" t="n">
        <f aca="false">IF($A25="","",IF(N(AI25)&gt;0,N(AO24)+1,0))</f>
        <v>4</v>
      </c>
      <c r="AP25" s="21" t="n">
        <f aca="false">IF($A25="","",IF(N(AJ25)&gt;0,N(AP24)+1,0))</f>
        <v>0</v>
      </c>
      <c r="AQ25" s="21" t="str">
        <f aca="false">IF($A25="","",IF(WEEKDAY($A25,2)&lt;&gt;7,"",IF(AND(OR(AK25="",N(AK25)&gt;=$A25+16/24,N(AL25)&lt;=$A25+6/24),OR(AM25="",N(AM25)&lt;=$A25+6/24)),1,0)))</f>
        <v/>
      </c>
      <c r="AR25" s="26" t="str">
        <f aca="false">IF($A25="","",IF(INDEX(Muster!$C$10:$BF$10,1,MOD($A25-Einstellungen!$C$6,Einstellungen!$C$7)+1)="","-",INDEX(Muster!$C$10:$BF$10,1,MOD($A25-Einstellungen!$C$6,Einstellungen!$C$7)+1)))</f>
        <v>-</v>
      </c>
      <c r="AS25" s="27" t="n">
        <f aca="false">IF($A25="","",IFERROR(VLOOKUP(AR25,Schichten!$A$5:$G$24,6,FALSE()),0))</f>
        <v>0</v>
      </c>
      <c r="AT25" s="27" t="n">
        <f aca="false">IF($A25="","",IFERROR(VLOOKUP(AR25,Schichten!$A$5:$G$24,7,FALSE()),0))</f>
        <v>0</v>
      </c>
      <c r="AU25" s="28" t="str">
        <f aca="false">IF($A25="","",IF(N(AS25)=0,"",$A25+VLOOKUP(AR25,Schichten!$A$5:$G$24,3,FALSE())))</f>
        <v/>
      </c>
      <c r="AV25" s="28" t="str">
        <f aca="false">IF(AU25="","",$A25+VLOOKUP(AR25,Schichten!$A$5:$G$24,4,FALSE())+IF(VLOOKUP(AR25,Schichten!$A$5:$G$24,4,FALSE())&lt;=VLOOKUP(AR25,Schichten!$A$5:$G$24,3,FALSE()),1,0))</f>
        <v/>
      </c>
      <c r="AW25" s="28" t="str">
        <f aca="false">IF($A25="","",IF(N(AS24)&gt;0,AV24,AW24))</f>
        <v/>
      </c>
      <c r="AX25" s="27" t="str">
        <f aca="false">IF(OR(AU25="",AW25=""),"",(AU25-AW25)*24)</f>
        <v/>
      </c>
      <c r="AY25" s="21" t="n">
        <f aca="false">IF($A25="","",IF(N(AS25)&gt;0,N(AY24)+1,0))</f>
        <v>0</v>
      </c>
      <c r="AZ25" s="21" t="n">
        <f aca="false">IF($A25="","",IF(N(AT25)&gt;0,N(AZ24)+1,0))</f>
        <v>0</v>
      </c>
      <c r="BA25" s="21" t="str">
        <f aca="false">IF($A25="","",IF(WEEKDAY($A25,2)&lt;&gt;7,"",IF(AND(OR(AU25="",N(AU25)&gt;=$A25+16/24,N(AV25)&lt;=$A25+6/24),OR(AW25="",N(AW25)&lt;=$A25+6/24)),1,0)))</f>
        <v/>
      </c>
    </row>
    <row r="26" customFormat="false" ht="15" hidden="false" customHeight="false" outlineLevel="0" collapsed="false">
      <c r="A26" s="25" t="n">
        <f aca="false">IF(YEAR(DATE(Einstellungen!$C$4,1,1)+21)=Einstellungen!$C$4,DATE(Einstellungen!$C$4,1,1)+21,"")</f>
        <v>46409</v>
      </c>
      <c r="B26" s="26" t="str">
        <f aca="false">IF($A26="","",CHOOSE(WEEKDAY($A26,2),"Mo","Di","Mi","Do","Fr","Sa","So"))</f>
        <v>Fr</v>
      </c>
      <c r="C26" s="26" t="n">
        <f aca="false">IF($A26="","",MONTH($A26))</f>
        <v>1</v>
      </c>
      <c r="D26" s="26" t="str">
        <f aca="false">IF($A26="","",IF(INDEX(Muster!$C$6:$BF$6,1,MOD($A26-Einstellungen!$C$6,Einstellungen!$C$7)+1)="","-",INDEX(Muster!$C$6:$BF$6,1,MOD($A26-Einstellungen!$C$6,Einstellungen!$C$7)+1)))</f>
        <v>S</v>
      </c>
      <c r="E26" s="27" t="n">
        <f aca="false">IF($A26="","",IFERROR(VLOOKUP(D26,Schichten!$A$5:$G$24,6,FALSE()),0))</f>
        <v>8</v>
      </c>
      <c r="F26" s="27" t="n">
        <f aca="false">IF($A26="","",IFERROR(VLOOKUP(D26,Schichten!$A$5:$G$24,7,FALSE()),0))</f>
        <v>0</v>
      </c>
      <c r="G26" s="28" t="n">
        <f aca="false">IF($A26="","",IF(N(E26)=0,"",$A26+VLOOKUP(D26,Schichten!$A$5:$G$24,3,FALSE())))</f>
        <v>46409.5833333333</v>
      </c>
      <c r="H26" s="28" t="n">
        <f aca="false">IF(G26="","",$A26+VLOOKUP(D26,Schichten!$A$5:$G$24,4,FALSE())+IF(VLOOKUP(D26,Schichten!$A$5:$G$24,4,FALSE())&lt;=VLOOKUP(D26,Schichten!$A$5:$G$24,3,FALSE()),1,0))</f>
        <v>46409.9166666667</v>
      </c>
      <c r="I26" s="28" t="n">
        <f aca="false">IF($A26="","",IF(N(E25)&gt;0,H25,I25))</f>
        <v>46408.5833333333</v>
      </c>
      <c r="J26" s="27" t="n">
        <f aca="false">IF(OR(G26="",I26=""),"",(G26-I26)*24)</f>
        <v>24</v>
      </c>
      <c r="K26" s="21" t="n">
        <f aca="false">IF($A26="","",IF(N(E26)&gt;0,N(K25)+1,0))</f>
        <v>3</v>
      </c>
      <c r="L26" s="21" t="n">
        <f aca="false">IF($A26="","",IF(N(F26)&gt;0,N(L25)+1,0))</f>
        <v>0</v>
      </c>
      <c r="M26" s="21" t="str">
        <f aca="false">IF($A26="","",IF(WEEKDAY($A26,2)&lt;&gt;7,"",IF(AND(OR(G26="",N(G26)&gt;=$A26+16/24,N(H26)&lt;=$A26+6/24),OR(I26="",N(I26)&lt;=$A26+6/24)),1,0)))</f>
        <v/>
      </c>
      <c r="N26" s="26" t="str">
        <f aca="false">IF($A26="","",IF(INDEX(Muster!$C$7:$BF$7,1,MOD($A26-Einstellungen!$C$6,Einstellungen!$C$7)+1)="","-",INDEX(Muster!$C$7:$BF$7,1,MOD($A26-Einstellungen!$C$6,Einstellungen!$C$7)+1)))</f>
        <v>F</v>
      </c>
      <c r="O26" s="27" t="n">
        <f aca="false">IF($A26="","",IFERROR(VLOOKUP(N26,Schichten!$A$5:$G$24,6,FALSE()),0))</f>
        <v>8</v>
      </c>
      <c r="P26" s="27" t="n">
        <f aca="false">IF($A26="","",IFERROR(VLOOKUP(N26,Schichten!$A$5:$G$24,7,FALSE()),0))</f>
        <v>0</v>
      </c>
      <c r="Q26" s="28" t="n">
        <f aca="false">IF($A26="","",IF(N(O26)=0,"",$A26+VLOOKUP(N26,Schichten!$A$5:$G$24,3,FALSE())))</f>
        <v>46409.25</v>
      </c>
      <c r="R26" s="28" t="n">
        <f aca="false">IF(Q26="","",$A26+VLOOKUP(N26,Schichten!$A$5:$G$24,4,FALSE())+IF(VLOOKUP(N26,Schichten!$A$5:$G$24,4,FALSE())&lt;=VLOOKUP(N26,Schichten!$A$5:$G$24,3,FALSE()),1,0))</f>
        <v>46409.5833333333</v>
      </c>
      <c r="S26" s="28" t="n">
        <f aca="false">IF($A26="","",IF(N(O25)&gt;0,R25,S25))</f>
        <v>46407.25</v>
      </c>
      <c r="T26" s="27" t="n">
        <f aca="false">IF(OR(Q26="",S26=""),"",(Q26-S26)*24)</f>
        <v>48</v>
      </c>
      <c r="U26" s="21" t="n">
        <f aca="false">IF($A26="","",IF(N(O26)&gt;0,N(U25)+1,0))</f>
        <v>1</v>
      </c>
      <c r="V26" s="21" t="n">
        <f aca="false">IF($A26="","",IF(N(P26)&gt;0,N(V25)+1,0))</f>
        <v>0</v>
      </c>
      <c r="W26" s="21" t="str">
        <f aca="false">IF($A26="","",IF(WEEKDAY($A26,2)&lt;&gt;7,"",IF(AND(OR(Q26="",N(Q26)&gt;=$A26+16/24,N(R26)&lt;=$A26+6/24),OR(S26="",N(S26)&lt;=$A26+6/24)),1,0)))</f>
        <v/>
      </c>
      <c r="X26" s="26" t="str">
        <f aca="false">IF($A26="","",IF(INDEX(Muster!$C$8:$BF$8,1,MOD($A26-Einstellungen!$C$6,Einstellungen!$C$7)+1)="","-",INDEX(Muster!$C$8:$BF$8,1,MOD($A26-Einstellungen!$C$6,Einstellungen!$C$7)+1)))</f>
        <v>-</v>
      </c>
      <c r="Y26" s="27" t="n">
        <f aca="false">IF($A26="","",IFERROR(VLOOKUP(X26,Schichten!$A$5:$G$24,6,FALSE()),0))</f>
        <v>0</v>
      </c>
      <c r="Z26" s="27" t="n">
        <f aca="false">IF($A26="","",IFERROR(VLOOKUP(X26,Schichten!$A$5:$G$24,7,FALSE()),0))</f>
        <v>0</v>
      </c>
      <c r="AA26" s="28" t="str">
        <f aca="false">IF($A26="","",IF(N(Y26)=0,"",$A26+VLOOKUP(X26,Schichten!$A$5:$G$24,3,FALSE())))</f>
        <v/>
      </c>
      <c r="AB26" s="28" t="str">
        <f aca="false">IF(AA26="","",$A26+VLOOKUP(X26,Schichten!$A$5:$G$24,4,FALSE())+IF(VLOOKUP(X26,Schichten!$A$5:$G$24,4,FALSE())&lt;=VLOOKUP(X26,Schichten!$A$5:$G$24,3,FALSE()),1,0))</f>
        <v/>
      </c>
      <c r="AC26" s="28" t="n">
        <f aca="false">IF($A26="","",IF(N(Y25)&gt;0,AB25,AC25))</f>
        <v>46409.25</v>
      </c>
      <c r="AD26" s="27" t="str">
        <f aca="false">IF(OR(AA26="",AC26=""),"",(AA26-AC26)*24)</f>
        <v/>
      </c>
      <c r="AE26" s="21" t="n">
        <f aca="false">IF($A26="","",IF(N(Y26)&gt;0,N(AE25)+1,0))</f>
        <v>0</v>
      </c>
      <c r="AF26" s="21" t="n">
        <f aca="false">IF($A26="","",IF(N(Z26)&gt;0,N(AF25)+1,0))</f>
        <v>0</v>
      </c>
      <c r="AG26" s="21" t="str">
        <f aca="false">IF($A26="","",IF(WEEKDAY($A26,2)&lt;&gt;7,"",IF(AND(OR(AA26="",N(AA26)&gt;=$A26+16/24,N(AB26)&lt;=$A26+6/24),OR(AC26="",N(AC26)&lt;=$A26+6/24)),1,0)))</f>
        <v/>
      </c>
      <c r="AH26" s="26" t="str">
        <f aca="false">IF($A26="","",IF(INDEX(Muster!$C$9:$BF$9,1,MOD($A26-Einstellungen!$C$6,Einstellungen!$C$7)+1)="","-",INDEX(Muster!$C$9:$BF$9,1,MOD($A26-Einstellungen!$C$6,Einstellungen!$C$7)+1)))</f>
        <v>N</v>
      </c>
      <c r="AI26" s="27" t="n">
        <f aca="false">IF($A26="","",IFERROR(VLOOKUP(AH26,Schichten!$A$5:$G$24,6,FALSE()),0))</f>
        <v>8</v>
      </c>
      <c r="AJ26" s="27" t="n">
        <f aca="false">IF($A26="","",IFERROR(VLOOKUP(AH26,Schichten!$A$5:$G$24,7,FALSE()),0))</f>
        <v>7</v>
      </c>
      <c r="AK26" s="28" t="n">
        <f aca="false">IF($A26="","",IF(N(AI26)=0,"",$A26+VLOOKUP(AH26,Schichten!$A$5:$G$24,3,FALSE())))</f>
        <v>46409.9166666667</v>
      </c>
      <c r="AL26" s="28" t="n">
        <f aca="false">IF(AK26="","",$A26+VLOOKUP(AH26,Schichten!$A$5:$G$24,4,FALSE())+IF(VLOOKUP(AH26,Schichten!$A$5:$G$24,4,FALSE())&lt;=VLOOKUP(AH26,Schichten!$A$5:$G$24,3,FALSE()),1,0))</f>
        <v>46410.25</v>
      </c>
      <c r="AM26" s="28" t="n">
        <f aca="false">IF($A26="","",IF(N(AI25)&gt;0,AL25,AM25))</f>
        <v>46408.9166666667</v>
      </c>
      <c r="AN26" s="27" t="n">
        <f aca="false">IF(OR(AK26="",AM26=""),"",(AK26-AM26)*24)</f>
        <v>24</v>
      </c>
      <c r="AO26" s="21" t="n">
        <f aca="false">IF($A26="","",IF(N(AI26)&gt;0,N(AO25)+1,0))</f>
        <v>5</v>
      </c>
      <c r="AP26" s="21" t="n">
        <f aca="false">IF($A26="","",IF(N(AJ26)&gt;0,N(AP25)+1,0))</f>
        <v>1</v>
      </c>
      <c r="AQ26" s="21" t="str">
        <f aca="false">IF($A26="","",IF(WEEKDAY($A26,2)&lt;&gt;7,"",IF(AND(OR(AK26="",N(AK26)&gt;=$A26+16/24,N(AL26)&lt;=$A26+6/24),OR(AM26="",N(AM26)&lt;=$A26+6/24)),1,0)))</f>
        <v/>
      </c>
      <c r="AR26" s="26" t="str">
        <f aca="false">IF($A26="","",IF(INDEX(Muster!$C$10:$BF$10,1,MOD($A26-Einstellungen!$C$6,Einstellungen!$C$7)+1)="","-",INDEX(Muster!$C$10:$BF$10,1,MOD($A26-Einstellungen!$C$6,Einstellungen!$C$7)+1)))</f>
        <v>-</v>
      </c>
      <c r="AS26" s="27" t="n">
        <f aca="false">IF($A26="","",IFERROR(VLOOKUP(AR26,Schichten!$A$5:$G$24,6,FALSE()),0))</f>
        <v>0</v>
      </c>
      <c r="AT26" s="27" t="n">
        <f aca="false">IF($A26="","",IFERROR(VLOOKUP(AR26,Schichten!$A$5:$G$24,7,FALSE()),0))</f>
        <v>0</v>
      </c>
      <c r="AU26" s="28" t="str">
        <f aca="false">IF($A26="","",IF(N(AS26)=0,"",$A26+VLOOKUP(AR26,Schichten!$A$5:$G$24,3,FALSE())))</f>
        <v/>
      </c>
      <c r="AV26" s="28" t="str">
        <f aca="false">IF(AU26="","",$A26+VLOOKUP(AR26,Schichten!$A$5:$G$24,4,FALSE())+IF(VLOOKUP(AR26,Schichten!$A$5:$G$24,4,FALSE())&lt;=VLOOKUP(AR26,Schichten!$A$5:$G$24,3,FALSE()),1,0))</f>
        <v/>
      </c>
      <c r="AW26" s="28" t="str">
        <f aca="false">IF($A26="","",IF(N(AS25)&gt;0,AV25,AW25))</f>
        <v/>
      </c>
      <c r="AX26" s="27" t="str">
        <f aca="false">IF(OR(AU26="",AW26=""),"",(AU26-AW26)*24)</f>
        <v/>
      </c>
      <c r="AY26" s="21" t="n">
        <f aca="false">IF($A26="","",IF(N(AS26)&gt;0,N(AY25)+1,0))</f>
        <v>0</v>
      </c>
      <c r="AZ26" s="21" t="n">
        <f aca="false">IF($A26="","",IF(N(AT26)&gt;0,N(AZ25)+1,0))</f>
        <v>0</v>
      </c>
      <c r="BA26" s="21" t="str">
        <f aca="false">IF($A26="","",IF(WEEKDAY($A26,2)&lt;&gt;7,"",IF(AND(OR(AU26="",N(AU26)&gt;=$A26+16/24,N(AV26)&lt;=$A26+6/24),OR(AW26="",N(AW26)&lt;=$A26+6/24)),1,0)))</f>
        <v/>
      </c>
    </row>
    <row r="27" customFormat="false" ht="15" hidden="false" customHeight="false" outlineLevel="0" collapsed="false">
      <c r="A27" s="25" t="n">
        <f aca="false">IF(YEAR(DATE(Einstellungen!$C$4,1,1)+22)=Einstellungen!$C$4,DATE(Einstellungen!$C$4,1,1)+22,"")</f>
        <v>46410</v>
      </c>
      <c r="B27" s="26" t="str">
        <f aca="false">IF($A27="","",CHOOSE(WEEKDAY($A27,2),"Mo","Di","Mi","Do","Fr","Sa","So"))</f>
        <v>Sa</v>
      </c>
      <c r="C27" s="26" t="n">
        <f aca="false">IF($A27="","",MONTH($A27))</f>
        <v>1</v>
      </c>
      <c r="D27" s="26" t="str">
        <f aca="false">IF($A27="","",IF(INDEX(Muster!$C$6:$BF$6,1,MOD($A27-Einstellungen!$C$6,Einstellungen!$C$7)+1)="","-",INDEX(Muster!$C$6:$BF$6,1,MOD($A27-Einstellungen!$C$6,Einstellungen!$C$7)+1)))</f>
        <v>S</v>
      </c>
      <c r="E27" s="27" t="n">
        <f aca="false">IF($A27="","",IFERROR(VLOOKUP(D27,Schichten!$A$5:$G$24,6,FALSE()),0))</f>
        <v>8</v>
      </c>
      <c r="F27" s="27" t="n">
        <f aca="false">IF($A27="","",IFERROR(VLOOKUP(D27,Schichten!$A$5:$G$24,7,FALSE()),0))</f>
        <v>0</v>
      </c>
      <c r="G27" s="28" t="n">
        <f aca="false">IF($A27="","",IF(N(E27)=0,"",$A27+VLOOKUP(D27,Schichten!$A$5:$G$24,3,FALSE())))</f>
        <v>46410.5833333333</v>
      </c>
      <c r="H27" s="28" t="n">
        <f aca="false">IF(G27="","",$A27+VLOOKUP(D27,Schichten!$A$5:$G$24,4,FALSE())+IF(VLOOKUP(D27,Schichten!$A$5:$G$24,4,FALSE())&lt;=VLOOKUP(D27,Schichten!$A$5:$G$24,3,FALSE()),1,0))</f>
        <v>46410.9166666667</v>
      </c>
      <c r="I27" s="28" t="n">
        <f aca="false">IF($A27="","",IF(N(E26)&gt;0,H26,I26))</f>
        <v>46409.9166666667</v>
      </c>
      <c r="J27" s="27" t="n">
        <f aca="false">IF(OR(G27="",I27=""),"",(G27-I27)*24)</f>
        <v>16</v>
      </c>
      <c r="K27" s="21" t="n">
        <f aca="false">IF($A27="","",IF(N(E27)&gt;0,N(K26)+1,0))</f>
        <v>4</v>
      </c>
      <c r="L27" s="21" t="n">
        <f aca="false">IF($A27="","",IF(N(F27)&gt;0,N(L26)+1,0))</f>
        <v>0</v>
      </c>
      <c r="M27" s="21" t="str">
        <f aca="false">IF($A27="","",IF(WEEKDAY($A27,2)&lt;&gt;7,"",IF(AND(OR(G27="",N(G27)&gt;=$A27+16/24,N(H27)&lt;=$A27+6/24),OR(I27="",N(I27)&lt;=$A27+6/24)),1,0)))</f>
        <v/>
      </c>
      <c r="N27" s="26" t="str">
        <f aca="false">IF($A27="","",IF(INDEX(Muster!$C$7:$BF$7,1,MOD($A27-Einstellungen!$C$6,Einstellungen!$C$7)+1)="","-",INDEX(Muster!$C$7:$BF$7,1,MOD($A27-Einstellungen!$C$6,Einstellungen!$C$7)+1)))</f>
        <v>F</v>
      </c>
      <c r="O27" s="27" t="n">
        <f aca="false">IF($A27="","",IFERROR(VLOOKUP(N27,Schichten!$A$5:$G$24,6,FALSE()),0))</f>
        <v>8</v>
      </c>
      <c r="P27" s="27" t="n">
        <f aca="false">IF($A27="","",IFERROR(VLOOKUP(N27,Schichten!$A$5:$G$24,7,FALSE()),0))</f>
        <v>0</v>
      </c>
      <c r="Q27" s="28" t="n">
        <f aca="false">IF($A27="","",IF(N(O27)=0,"",$A27+VLOOKUP(N27,Schichten!$A$5:$G$24,3,FALSE())))</f>
        <v>46410.25</v>
      </c>
      <c r="R27" s="28" t="n">
        <f aca="false">IF(Q27="","",$A27+VLOOKUP(N27,Schichten!$A$5:$G$24,4,FALSE())+IF(VLOOKUP(N27,Schichten!$A$5:$G$24,4,FALSE())&lt;=VLOOKUP(N27,Schichten!$A$5:$G$24,3,FALSE()),1,0))</f>
        <v>46410.5833333333</v>
      </c>
      <c r="S27" s="28" t="n">
        <f aca="false">IF($A27="","",IF(N(O26)&gt;0,R26,S26))</f>
        <v>46409.5833333333</v>
      </c>
      <c r="T27" s="27" t="n">
        <f aca="false">IF(OR(Q27="",S27=""),"",(Q27-S27)*24)</f>
        <v>16</v>
      </c>
      <c r="U27" s="21" t="n">
        <f aca="false">IF($A27="","",IF(N(O27)&gt;0,N(U26)+1,0))</f>
        <v>2</v>
      </c>
      <c r="V27" s="21" t="n">
        <f aca="false">IF($A27="","",IF(N(P27)&gt;0,N(V26)+1,0))</f>
        <v>0</v>
      </c>
      <c r="W27" s="21" t="str">
        <f aca="false">IF($A27="","",IF(WEEKDAY($A27,2)&lt;&gt;7,"",IF(AND(OR(Q27="",N(Q27)&gt;=$A27+16/24,N(R27)&lt;=$A27+6/24),OR(S27="",N(S27)&lt;=$A27+6/24)),1,0)))</f>
        <v/>
      </c>
      <c r="X27" s="26" t="str">
        <f aca="false">IF($A27="","",IF(INDEX(Muster!$C$8:$BF$8,1,MOD($A27-Einstellungen!$C$6,Einstellungen!$C$7)+1)="","-",INDEX(Muster!$C$8:$BF$8,1,MOD($A27-Einstellungen!$C$6,Einstellungen!$C$7)+1)))</f>
        <v>-</v>
      </c>
      <c r="Y27" s="27" t="n">
        <f aca="false">IF($A27="","",IFERROR(VLOOKUP(X27,Schichten!$A$5:$G$24,6,FALSE()),0))</f>
        <v>0</v>
      </c>
      <c r="Z27" s="27" t="n">
        <f aca="false">IF($A27="","",IFERROR(VLOOKUP(X27,Schichten!$A$5:$G$24,7,FALSE()),0))</f>
        <v>0</v>
      </c>
      <c r="AA27" s="28" t="str">
        <f aca="false">IF($A27="","",IF(N(Y27)=0,"",$A27+VLOOKUP(X27,Schichten!$A$5:$G$24,3,FALSE())))</f>
        <v/>
      </c>
      <c r="AB27" s="28" t="str">
        <f aca="false">IF(AA27="","",$A27+VLOOKUP(X27,Schichten!$A$5:$G$24,4,FALSE())+IF(VLOOKUP(X27,Schichten!$A$5:$G$24,4,FALSE())&lt;=VLOOKUP(X27,Schichten!$A$5:$G$24,3,FALSE()),1,0))</f>
        <v/>
      </c>
      <c r="AC27" s="28" t="n">
        <f aca="false">IF($A27="","",IF(N(Y26)&gt;0,AB26,AC26))</f>
        <v>46409.25</v>
      </c>
      <c r="AD27" s="27" t="str">
        <f aca="false">IF(OR(AA27="",AC27=""),"",(AA27-AC27)*24)</f>
        <v/>
      </c>
      <c r="AE27" s="21" t="n">
        <f aca="false">IF($A27="","",IF(N(Y27)&gt;0,N(AE26)+1,0))</f>
        <v>0</v>
      </c>
      <c r="AF27" s="21" t="n">
        <f aca="false">IF($A27="","",IF(N(Z27)&gt;0,N(AF26)+1,0))</f>
        <v>0</v>
      </c>
      <c r="AG27" s="21" t="str">
        <f aca="false">IF($A27="","",IF(WEEKDAY($A27,2)&lt;&gt;7,"",IF(AND(OR(AA27="",N(AA27)&gt;=$A27+16/24,N(AB27)&lt;=$A27+6/24),OR(AC27="",N(AC27)&lt;=$A27+6/24)),1,0)))</f>
        <v/>
      </c>
      <c r="AH27" s="26" t="str">
        <f aca="false">IF($A27="","",IF(INDEX(Muster!$C$9:$BF$9,1,MOD($A27-Einstellungen!$C$6,Einstellungen!$C$7)+1)="","-",INDEX(Muster!$C$9:$BF$9,1,MOD($A27-Einstellungen!$C$6,Einstellungen!$C$7)+1)))</f>
        <v>N</v>
      </c>
      <c r="AI27" s="27" t="n">
        <f aca="false">IF($A27="","",IFERROR(VLOOKUP(AH27,Schichten!$A$5:$G$24,6,FALSE()),0))</f>
        <v>8</v>
      </c>
      <c r="AJ27" s="27" t="n">
        <f aca="false">IF($A27="","",IFERROR(VLOOKUP(AH27,Schichten!$A$5:$G$24,7,FALSE()),0))</f>
        <v>7</v>
      </c>
      <c r="AK27" s="28" t="n">
        <f aca="false">IF($A27="","",IF(N(AI27)=0,"",$A27+VLOOKUP(AH27,Schichten!$A$5:$G$24,3,FALSE())))</f>
        <v>46410.9166666667</v>
      </c>
      <c r="AL27" s="28" t="n">
        <f aca="false">IF(AK27="","",$A27+VLOOKUP(AH27,Schichten!$A$5:$G$24,4,FALSE())+IF(VLOOKUP(AH27,Schichten!$A$5:$G$24,4,FALSE())&lt;=VLOOKUP(AH27,Schichten!$A$5:$G$24,3,FALSE()),1,0))</f>
        <v>46411.25</v>
      </c>
      <c r="AM27" s="28" t="n">
        <f aca="false">IF($A27="","",IF(N(AI26)&gt;0,AL26,AM26))</f>
        <v>46410.25</v>
      </c>
      <c r="AN27" s="27" t="n">
        <f aca="false">IF(OR(AK27="",AM27=""),"",(AK27-AM27)*24)</f>
        <v>16</v>
      </c>
      <c r="AO27" s="21" t="n">
        <f aca="false">IF($A27="","",IF(N(AI27)&gt;0,N(AO26)+1,0))</f>
        <v>6</v>
      </c>
      <c r="AP27" s="21" t="n">
        <f aca="false">IF($A27="","",IF(N(AJ27)&gt;0,N(AP26)+1,0))</f>
        <v>2</v>
      </c>
      <c r="AQ27" s="21" t="str">
        <f aca="false">IF($A27="","",IF(WEEKDAY($A27,2)&lt;&gt;7,"",IF(AND(OR(AK27="",N(AK27)&gt;=$A27+16/24,N(AL27)&lt;=$A27+6/24),OR(AM27="",N(AM27)&lt;=$A27+6/24)),1,0)))</f>
        <v/>
      </c>
      <c r="AR27" s="26" t="str">
        <f aca="false">IF($A27="","",IF(INDEX(Muster!$C$10:$BF$10,1,MOD($A27-Einstellungen!$C$6,Einstellungen!$C$7)+1)="","-",INDEX(Muster!$C$10:$BF$10,1,MOD($A27-Einstellungen!$C$6,Einstellungen!$C$7)+1)))</f>
        <v>-</v>
      </c>
      <c r="AS27" s="27" t="n">
        <f aca="false">IF($A27="","",IFERROR(VLOOKUP(AR27,Schichten!$A$5:$G$24,6,FALSE()),0))</f>
        <v>0</v>
      </c>
      <c r="AT27" s="27" t="n">
        <f aca="false">IF($A27="","",IFERROR(VLOOKUP(AR27,Schichten!$A$5:$G$24,7,FALSE()),0))</f>
        <v>0</v>
      </c>
      <c r="AU27" s="28" t="str">
        <f aca="false">IF($A27="","",IF(N(AS27)=0,"",$A27+VLOOKUP(AR27,Schichten!$A$5:$G$24,3,FALSE())))</f>
        <v/>
      </c>
      <c r="AV27" s="28" t="str">
        <f aca="false">IF(AU27="","",$A27+VLOOKUP(AR27,Schichten!$A$5:$G$24,4,FALSE())+IF(VLOOKUP(AR27,Schichten!$A$5:$G$24,4,FALSE())&lt;=VLOOKUP(AR27,Schichten!$A$5:$G$24,3,FALSE()),1,0))</f>
        <v/>
      </c>
      <c r="AW27" s="28" t="str">
        <f aca="false">IF($A27="","",IF(N(AS26)&gt;0,AV26,AW26))</f>
        <v/>
      </c>
      <c r="AX27" s="27" t="str">
        <f aca="false">IF(OR(AU27="",AW27=""),"",(AU27-AW27)*24)</f>
        <v/>
      </c>
      <c r="AY27" s="21" t="n">
        <f aca="false">IF($A27="","",IF(N(AS27)&gt;0,N(AY26)+1,0))</f>
        <v>0</v>
      </c>
      <c r="AZ27" s="21" t="n">
        <f aca="false">IF($A27="","",IF(N(AT27)&gt;0,N(AZ26)+1,0))</f>
        <v>0</v>
      </c>
      <c r="BA27" s="21" t="str">
        <f aca="false">IF($A27="","",IF(WEEKDAY($A27,2)&lt;&gt;7,"",IF(AND(OR(AU27="",N(AU27)&gt;=$A27+16/24,N(AV27)&lt;=$A27+6/24),OR(AW27="",N(AW27)&lt;=$A27+6/24)),1,0)))</f>
        <v/>
      </c>
    </row>
    <row r="28" customFormat="false" ht="15" hidden="false" customHeight="false" outlineLevel="0" collapsed="false">
      <c r="A28" s="25" t="n">
        <f aca="false">IF(YEAR(DATE(Einstellungen!$C$4,1,1)+23)=Einstellungen!$C$4,DATE(Einstellungen!$C$4,1,1)+23,"")</f>
        <v>46411</v>
      </c>
      <c r="B28" s="26" t="str">
        <f aca="false">IF($A28="","",CHOOSE(WEEKDAY($A28,2),"Mo","Di","Mi","Do","Fr","Sa","So"))</f>
        <v>So</v>
      </c>
      <c r="C28" s="26" t="n">
        <f aca="false">IF($A28="","",MONTH($A28))</f>
        <v>1</v>
      </c>
      <c r="D28" s="26" t="str">
        <f aca="false">IF($A28="","",IF(INDEX(Muster!$C$6:$BF$6,1,MOD($A28-Einstellungen!$C$6,Einstellungen!$C$7)+1)="","-",INDEX(Muster!$C$6:$BF$6,1,MOD($A28-Einstellungen!$C$6,Einstellungen!$C$7)+1)))</f>
        <v>N</v>
      </c>
      <c r="E28" s="27" t="n">
        <f aca="false">IF($A28="","",IFERROR(VLOOKUP(D28,Schichten!$A$5:$G$24,6,FALSE()),0))</f>
        <v>8</v>
      </c>
      <c r="F28" s="27" t="n">
        <f aca="false">IF($A28="","",IFERROR(VLOOKUP(D28,Schichten!$A$5:$G$24,7,FALSE()),0))</f>
        <v>7</v>
      </c>
      <c r="G28" s="28" t="n">
        <f aca="false">IF($A28="","",IF(N(E28)=0,"",$A28+VLOOKUP(D28,Schichten!$A$5:$G$24,3,FALSE())))</f>
        <v>46411.9166666667</v>
      </c>
      <c r="H28" s="28" t="n">
        <f aca="false">IF(G28="","",$A28+VLOOKUP(D28,Schichten!$A$5:$G$24,4,FALSE())+IF(VLOOKUP(D28,Schichten!$A$5:$G$24,4,FALSE())&lt;=VLOOKUP(D28,Schichten!$A$5:$G$24,3,FALSE()),1,0))</f>
        <v>46412.25</v>
      </c>
      <c r="I28" s="28" t="n">
        <f aca="false">IF($A28="","",IF(N(E27)&gt;0,H27,I27))</f>
        <v>46410.9166666667</v>
      </c>
      <c r="J28" s="27" t="n">
        <f aca="false">IF(OR(G28="",I28=""),"",(G28-I28)*24)</f>
        <v>24</v>
      </c>
      <c r="K28" s="21" t="n">
        <f aca="false">IF($A28="","",IF(N(E28)&gt;0,N(K27)+1,0))</f>
        <v>5</v>
      </c>
      <c r="L28" s="21" t="n">
        <f aca="false">IF($A28="","",IF(N(F28)&gt;0,N(L27)+1,0))</f>
        <v>1</v>
      </c>
      <c r="M28" s="21" t="n">
        <f aca="false">IF($A28="","",IF(WEEKDAY($A28,2)&lt;&gt;7,"",IF(AND(OR(G28="",N(G28)&gt;=$A28+16/24,N(H28)&lt;=$A28+6/24),OR(I28="",N(I28)&lt;=$A28+6/24)),1,0)))</f>
        <v>1</v>
      </c>
      <c r="N28" s="26" t="str">
        <f aca="false">IF($A28="","",IF(INDEX(Muster!$C$7:$BF$7,1,MOD($A28-Einstellungen!$C$6,Einstellungen!$C$7)+1)="","-",INDEX(Muster!$C$7:$BF$7,1,MOD($A28-Einstellungen!$C$6,Einstellungen!$C$7)+1)))</f>
        <v>S</v>
      </c>
      <c r="O28" s="27" t="n">
        <f aca="false">IF($A28="","",IFERROR(VLOOKUP(N28,Schichten!$A$5:$G$24,6,FALSE()),0))</f>
        <v>8</v>
      </c>
      <c r="P28" s="27" t="n">
        <f aca="false">IF($A28="","",IFERROR(VLOOKUP(N28,Schichten!$A$5:$G$24,7,FALSE()),0))</f>
        <v>0</v>
      </c>
      <c r="Q28" s="28" t="n">
        <f aca="false">IF($A28="","",IF(N(O28)=0,"",$A28+VLOOKUP(N28,Schichten!$A$5:$G$24,3,FALSE())))</f>
        <v>46411.5833333333</v>
      </c>
      <c r="R28" s="28" t="n">
        <f aca="false">IF(Q28="","",$A28+VLOOKUP(N28,Schichten!$A$5:$G$24,4,FALSE())+IF(VLOOKUP(N28,Schichten!$A$5:$G$24,4,FALSE())&lt;=VLOOKUP(N28,Schichten!$A$5:$G$24,3,FALSE()),1,0))</f>
        <v>46411.9166666667</v>
      </c>
      <c r="S28" s="28" t="n">
        <f aca="false">IF($A28="","",IF(N(O27)&gt;0,R27,S27))</f>
        <v>46410.5833333333</v>
      </c>
      <c r="T28" s="27" t="n">
        <f aca="false">IF(OR(Q28="",S28=""),"",(Q28-S28)*24)</f>
        <v>24</v>
      </c>
      <c r="U28" s="21" t="n">
        <f aca="false">IF($A28="","",IF(N(O28)&gt;0,N(U27)+1,0))</f>
        <v>3</v>
      </c>
      <c r="V28" s="21" t="n">
        <f aca="false">IF($A28="","",IF(N(P28)&gt;0,N(V27)+1,0))</f>
        <v>0</v>
      </c>
      <c r="W28" s="21" t="n">
        <f aca="false">IF($A28="","",IF(WEEKDAY($A28,2)&lt;&gt;7,"",IF(AND(OR(Q28="",N(Q28)&gt;=$A28+16/24,N(R28)&lt;=$A28+6/24),OR(S28="",N(S28)&lt;=$A28+6/24)),1,0)))</f>
        <v>0</v>
      </c>
      <c r="X28" s="26" t="str">
        <f aca="false">IF($A28="","",IF(INDEX(Muster!$C$8:$BF$8,1,MOD($A28-Einstellungen!$C$6,Einstellungen!$C$7)+1)="","-",INDEX(Muster!$C$8:$BF$8,1,MOD($A28-Einstellungen!$C$6,Einstellungen!$C$7)+1)))</f>
        <v>F</v>
      </c>
      <c r="Y28" s="27" t="n">
        <f aca="false">IF($A28="","",IFERROR(VLOOKUP(X28,Schichten!$A$5:$G$24,6,FALSE()),0))</f>
        <v>8</v>
      </c>
      <c r="Z28" s="27" t="n">
        <f aca="false">IF($A28="","",IFERROR(VLOOKUP(X28,Schichten!$A$5:$G$24,7,FALSE()),0))</f>
        <v>0</v>
      </c>
      <c r="AA28" s="28" t="n">
        <f aca="false">IF($A28="","",IF(N(Y28)=0,"",$A28+VLOOKUP(X28,Schichten!$A$5:$G$24,3,FALSE())))</f>
        <v>46411.25</v>
      </c>
      <c r="AB28" s="28" t="n">
        <f aca="false">IF(AA28="","",$A28+VLOOKUP(X28,Schichten!$A$5:$G$24,4,FALSE())+IF(VLOOKUP(X28,Schichten!$A$5:$G$24,4,FALSE())&lt;=VLOOKUP(X28,Schichten!$A$5:$G$24,3,FALSE()),1,0))</f>
        <v>46411.5833333333</v>
      </c>
      <c r="AC28" s="28" t="n">
        <f aca="false">IF($A28="","",IF(N(Y27)&gt;0,AB27,AC27))</f>
        <v>46409.25</v>
      </c>
      <c r="AD28" s="27" t="n">
        <f aca="false">IF(OR(AA28="",AC28=""),"",(AA28-AC28)*24)</f>
        <v>48</v>
      </c>
      <c r="AE28" s="21" t="n">
        <f aca="false">IF($A28="","",IF(N(Y28)&gt;0,N(AE27)+1,0))</f>
        <v>1</v>
      </c>
      <c r="AF28" s="21" t="n">
        <f aca="false">IF($A28="","",IF(N(Z28)&gt;0,N(AF27)+1,0))</f>
        <v>0</v>
      </c>
      <c r="AG28" s="21" t="n">
        <f aca="false">IF($A28="","",IF(WEEKDAY($A28,2)&lt;&gt;7,"",IF(AND(OR(AA28="",N(AA28)&gt;=$A28+16/24,N(AB28)&lt;=$A28+6/24),OR(AC28="",N(AC28)&lt;=$A28+6/24)),1,0)))</f>
        <v>0</v>
      </c>
      <c r="AH28" s="26" t="str">
        <f aca="false">IF($A28="","",IF(INDEX(Muster!$C$9:$BF$9,1,MOD($A28-Einstellungen!$C$6,Einstellungen!$C$7)+1)="","-",INDEX(Muster!$C$9:$BF$9,1,MOD($A28-Einstellungen!$C$6,Einstellungen!$C$7)+1)))</f>
        <v>-</v>
      </c>
      <c r="AI28" s="27" t="n">
        <f aca="false">IF($A28="","",IFERROR(VLOOKUP(AH28,Schichten!$A$5:$G$24,6,FALSE()),0))</f>
        <v>0</v>
      </c>
      <c r="AJ28" s="27" t="n">
        <f aca="false">IF($A28="","",IFERROR(VLOOKUP(AH28,Schichten!$A$5:$G$24,7,FALSE()),0))</f>
        <v>0</v>
      </c>
      <c r="AK28" s="28" t="str">
        <f aca="false">IF($A28="","",IF(N(AI28)=0,"",$A28+VLOOKUP(AH28,Schichten!$A$5:$G$24,3,FALSE())))</f>
        <v/>
      </c>
      <c r="AL28" s="28" t="str">
        <f aca="false">IF(AK28="","",$A28+VLOOKUP(AH28,Schichten!$A$5:$G$24,4,FALSE())+IF(VLOOKUP(AH28,Schichten!$A$5:$G$24,4,FALSE())&lt;=VLOOKUP(AH28,Schichten!$A$5:$G$24,3,FALSE()),1,0))</f>
        <v/>
      </c>
      <c r="AM28" s="28" t="n">
        <f aca="false">IF($A28="","",IF(N(AI27)&gt;0,AL27,AM27))</f>
        <v>46411.25</v>
      </c>
      <c r="AN28" s="27" t="str">
        <f aca="false">IF(OR(AK28="",AM28=""),"",(AK28-AM28)*24)</f>
        <v/>
      </c>
      <c r="AO28" s="21" t="n">
        <f aca="false">IF($A28="","",IF(N(AI28)&gt;0,N(AO27)+1,0))</f>
        <v>0</v>
      </c>
      <c r="AP28" s="21" t="n">
        <f aca="false">IF($A28="","",IF(N(AJ28)&gt;0,N(AP27)+1,0))</f>
        <v>0</v>
      </c>
      <c r="AQ28" s="21" t="n">
        <f aca="false">IF($A28="","",IF(WEEKDAY($A28,2)&lt;&gt;7,"",IF(AND(OR(AK28="",N(AK28)&gt;=$A28+16/24,N(AL28)&lt;=$A28+6/24),OR(AM28="",N(AM28)&lt;=$A28+6/24)),1,0)))</f>
        <v>1</v>
      </c>
      <c r="AR28" s="26" t="str">
        <f aca="false">IF($A28="","",IF(INDEX(Muster!$C$10:$BF$10,1,MOD($A28-Einstellungen!$C$6,Einstellungen!$C$7)+1)="","-",INDEX(Muster!$C$10:$BF$10,1,MOD($A28-Einstellungen!$C$6,Einstellungen!$C$7)+1)))</f>
        <v>-</v>
      </c>
      <c r="AS28" s="27" t="n">
        <f aca="false">IF($A28="","",IFERROR(VLOOKUP(AR28,Schichten!$A$5:$G$24,6,FALSE()),0))</f>
        <v>0</v>
      </c>
      <c r="AT28" s="27" t="n">
        <f aca="false">IF($A28="","",IFERROR(VLOOKUP(AR28,Schichten!$A$5:$G$24,7,FALSE()),0))</f>
        <v>0</v>
      </c>
      <c r="AU28" s="28" t="str">
        <f aca="false">IF($A28="","",IF(N(AS28)=0,"",$A28+VLOOKUP(AR28,Schichten!$A$5:$G$24,3,FALSE())))</f>
        <v/>
      </c>
      <c r="AV28" s="28" t="str">
        <f aca="false">IF(AU28="","",$A28+VLOOKUP(AR28,Schichten!$A$5:$G$24,4,FALSE())+IF(VLOOKUP(AR28,Schichten!$A$5:$G$24,4,FALSE())&lt;=VLOOKUP(AR28,Schichten!$A$5:$G$24,3,FALSE()),1,0))</f>
        <v/>
      </c>
      <c r="AW28" s="28" t="str">
        <f aca="false">IF($A28="","",IF(N(AS27)&gt;0,AV27,AW27))</f>
        <v/>
      </c>
      <c r="AX28" s="27" t="str">
        <f aca="false">IF(OR(AU28="",AW28=""),"",(AU28-AW28)*24)</f>
        <v/>
      </c>
      <c r="AY28" s="21" t="n">
        <f aca="false">IF($A28="","",IF(N(AS28)&gt;0,N(AY27)+1,0))</f>
        <v>0</v>
      </c>
      <c r="AZ28" s="21" t="n">
        <f aca="false">IF($A28="","",IF(N(AT28)&gt;0,N(AZ27)+1,0))</f>
        <v>0</v>
      </c>
      <c r="BA28" s="21" t="n">
        <f aca="false">IF($A28="","",IF(WEEKDAY($A28,2)&lt;&gt;7,"",IF(AND(OR(AU28="",N(AU28)&gt;=$A28+16/24,N(AV28)&lt;=$A28+6/24),OR(AW28="",N(AW28)&lt;=$A28+6/24)),1,0)))</f>
        <v>1</v>
      </c>
    </row>
    <row r="29" customFormat="false" ht="15" hidden="false" customHeight="false" outlineLevel="0" collapsed="false">
      <c r="A29" s="25" t="n">
        <f aca="false">IF(YEAR(DATE(Einstellungen!$C$4,1,1)+24)=Einstellungen!$C$4,DATE(Einstellungen!$C$4,1,1)+24,"")</f>
        <v>46412</v>
      </c>
      <c r="B29" s="26" t="str">
        <f aca="false">IF($A29="","",CHOOSE(WEEKDAY($A29,2),"Mo","Di","Mi","Do","Fr","Sa","So"))</f>
        <v>Mo</v>
      </c>
      <c r="C29" s="26" t="n">
        <f aca="false">IF($A29="","",MONTH($A29))</f>
        <v>1</v>
      </c>
      <c r="D29" s="26" t="str">
        <f aca="false">IF($A29="","",IF(INDEX(Muster!$C$6:$BF$6,1,MOD($A29-Einstellungen!$C$6,Einstellungen!$C$7)+1)="","-",INDEX(Muster!$C$6:$BF$6,1,MOD($A29-Einstellungen!$C$6,Einstellungen!$C$7)+1)))</f>
        <v>N</v>
      </c>
      <c r="E29" s="27" t="n">
        <f aca="false">IF($A29="","",IFERROR(VLOOKUP(D29,Schichten!$A$5:$G$24,6,FALSE()),0))</f>
        <v>8</v>
      </c>
      <c r="F29" s="27" t="n">
        <f aca="false">IF($A29="","",IFERROR(VLOOKUP(D29,Schichten!$A$5:$G$24,7,FALSE()),0))</f>
        <v>7</v>
      </c>
      <c r="G29" s="28" t="n">
        <f aca="false">IF($A29="","",IF(N(E29)=0,"",$A29+VLOOKUP(D29,Schichten!$A$5:$G$24,3,FALSE())))</f>
        <v>46412.9166666667</v>
      </c>
      <c r="H29" s="28" t="n">
        <f aca="false">IF(G29="","",$A29+VLOOKUP(D29,Schichten!$A$5:$G$24,4,FALSE())+IF(VLOOKUP(D29,Schichten!$A$5:$G$24,4,FALSE())&lt;=VLOOKUP(D29,Schichten!$A$5:$G$24,3,FALSE()),1,0))</f>
        <v>46413.25</v>
      </c>
      <c r="I29" s="28" t="n">
        <f aca="false">IF($A29="","",IF(N(E28)&gt;0,H28,I28))</f>
        <v>46412.25</v>
      </c>
      <c r="J29" s="27" t="n">
        <f aca="false">IF(OR(G29="",I29=""),"",(G29-I29)*24)</f>
        <v>16</v>
      </c>
      <c r="K29" s="21" t="n">
        <f aca="false">IF($A29="","",IF(N(E29)&gt;0,N(K28)+1,0))</f>
        <v>6</v>
      </c>
      <c r="L29" s="21" t="n">
        <f aca="false">IF($A29="","",IF(N(F29)&gt;0,N(L28)+1,0))</f>
        <v>2</v>
      </c>
      <c r="M29" s="21" t="str">
        <f aca="false">IF($A29="","",IF(WEEKDAY($A29,2)&lt;&gt;7,"",IF(AND(OR(G29="",N(G29)&gt;=$A29+16/24,N(H29)&lt;=$A29+6/24),OR(I29="",N(I29)&lt;=$A29+6/24)),1,0)))</f>
        <v/>
      </c>
      <c r="N29" s="26" t="str">
        <f aca="false">IF($A29="","",IF(INDEX(Muster!$C$7:$BF$7,1,MOD($A29-Einstellungen!$C$6,Einstellungen!$C$7)+1)="","-",INDEX(Muster!$C$7:$BF$7,1,MOD($A29-Einstellungen!$C$6,Einstellungen!$C$7)+1)))</f>
        <v>S</v>
      </c>
      <c r="O29" s="27" t="n">
        <f aca="false">IF($A29="","",IFERROR(VLOOKUP(N29,Schichten!$A$5:$G$24,6,FALSE()),0))</f>
        <v>8</v>
      </c>
      <c r="P29" s="27" t="n">
        <f aca="false">IF($A29="","",IFERROR(VLOOKUP(N29,Schichten!$A$5:$G$24,7,FALSE()),0))</f>
        <v>0</v>
      </c>
      <c r="Q29" s="28" t="n">
        <f aca="false">IF($A29="","",IF(N(O29)=0,"",$A29+VLOOKUP(N29,Schichten!$A$5:$G$24,3,FALSE())))</f>
        <v>46412.5833333333</v>
      </c>
      <c r="R29" s="28" t="n">
        <f aca="false">IF(Q29="","",$A29+VLOOKUP(N29,Schichten!$A$5:$G$24,4,FALSE())+IF(VLOOKUP(N29,Schichten!$A$5:$G$24,4,FALSE())&lt;=VLOOKUP(N29,Schichten!$A$5:$G$24,3,FALSE()),1,0))</f>
        <v>46412.9166666667</v>
      </c>
      <c r="S29" s="28" t="n">
        <f aca="false">IF($A29="","",IF(N(O28)&gt;0,R28,S28))</f>
        <v>46411.9166666667</v>
      </c>
      <c r="T29" s="27" t="n">
        <f aca="false">IF(OR(Q29="",S29=""),"",(Q29-S29)*24)</f>
        <v>16</v>
      </c>
      <c r="U29" s="21" t="n">
        <f aca="false">IF($A29="","",IF(N(O29)&gt;0,N(U28)+1,0))</f>
        <v>4</v>
      </c>
      <c r="V29" s="21" t="n">
        <f aca="false">IF($A29="","",IF(N(P29)&gt;0,N(V28)+1,0))</f>
        <v>0</v>
      </c>
      <c r="W29" s="21" t="str">
        <f aca="false">IF($A29="","",IF(WEEKDAY($A29,2)&lt;&gt;7,"",IF(AND(OR(Q29="",N(Q29)&gt;=$A29+16/24,N(R29)&lt;=$A29+6/24),OR(S29="",N(S29)&lt;=$A29+6/24)),1,0)))</f>
        <v/>
      </c>
      <c r="X29" s="26" t="str">
        <f aca="false">IF($A29="","",IF(INDEX(Muster!$C$8:$BF$8,1,MOD($A29-Einstellungen!$C$6,Einstellungen!$C$7)+1)="","-",INDEX(Muster!$C$8:$BF$8,1,MOD($A29-Einstellungen!$C$6,Einstellungen!$C$7)+1)))</f>
        <v>F</v>
      </c>
      <c r="Y29" s="27" t="n">
        <f aca="false">IF($A29="","",IFERROR(VLOOKUP(X29,Schichten!$A$5:$G$24,6,FALSE()),0))</f>
        <v>8</v>
      </c>
      <c r="Z29" s="27" t="n">
        <f aca="false">IF($A29="","",IFERROR(VLOOKUP(X29,Schichten!$A$5:$G$24,7,FALSE()),0))</f>
        <v>0</v>
      </c>
      <c r="AA29" s="28" t="n">
        <f aca="false">IF($A29="","",IF(N(Y29)=0,"",$A29+VLOOKUP(X29,Schichten!$A$5:$G$24,3,FALSE())))</f>
        <v>46412.25</v>
      </c>
      <c r="AB29" s="28" t="n">
        <f aca="false">IF(AA29="","",$A29+VLOOKUP(X29,Schichten!$A$5:$G$24,4,FALSE())+IF(VLOOKUP(X29,Schichten!$A$5:$G$24,4,FALSE())&lt;=VLOOKUP(X29,Schichten!$A$5:$G$24,3,FALSE()),1,0))</f>
        <v>46412.5833333333</v>
      </c>
      <c r="AC29" s="28" t="n">
        <f aca="false">IF($A29="","",IF(N(Y28)&gt;0,AB28,AC28))</f>
        <v>46411.5833333333</v>
      </c>
      <c r="AD29" s="27" t="n">
        <f aca="false">IF(OR(AA29="",AC29=""),"",(AA29-AC29)*24)</f>
        <v>16</v>
      </c>
      <c r="AE29" s="21" t="n">
        <f aca="false">IF($A29="","",IF(N(Y29)&gt;0,N(AE28)+1,0))</f>
        <v>2</v>
      </c>
      <c r="AF29" s="21" t="n">
        <f aca="false">IF($A29="","",IF(N(Z29)&gt;0,N(AF28)+1,0))</f>
        <v>0</v>
      </c>
      <c r="AG29" s="21" t="str">
        <f aca="false">IF($A29="","",IF(WEEKDAY($A29,2)&lt;&gt;7,"",IF(AND(OR(AA29="",N(AA29)&gt;=$A29+16/24,N(AB29)&lt;=$A29+6/24),OR(AC29="",N(AC29)&lt;=$A29+6/24)),1,0)))</f>
        <v/>
      </c>
      <c r="AH29" s="26" t="str">
        <f aca="false">IF($A29="","",IF(INDEX(Muster!$C$9:$BF$9,1,MOD($A29-Einstellungen!$C$6,Einstellungen!$C$7)+1)="","-",INDEX(Muster!$C$9:$BF$9,1,MOD($A29-Einstellungen!$C$6,Einstellungen!$C$7)+1)))</f>
        <v>-</v>
      </c>
      <c r="AI29" s="27" t="n">
        <f aca="false">IF($A29="","",IFERROR(VLOOKUP(AH29,Schichten!$A$5:$G$24,6,FALSE()),0))</f>
        <v>0</v>
      </c>
      <c r="AJ29" s="27" t="n">
        <f aca="false">IF($A29="","",IFERROR(VLOOKUP(AH29,Schichten!$A$5:$G$24,7,FALSE()),0))</f>
        <v>0</v>
      </c>
      <c r="AK29" s="28" t="str">
        <f aca="false">IF($A29="","",IF(N(AI29)=0,"",$A29+VLOOKUP(AH29,Schichten!$A$5:$G$24,3,FALSE())))</f>
        <v/>
      </c>
      <c r="AL29" s="28" t="str">
        <f aca="false">IF(AK29="","",$A29+VLOOKUP(AH29,Schichten!$A$5:$G$24,4,FALSE())+IF(VLOOKUP(AH29,Schichten!$A$5:$G$24,4,FALSE())&lt;=VLOOKUP(AH29,Schichten!$A$5:$G$24,3,FALSE()),1,0))</f>
        <v/>
      </c>
      <c r="AM29" s="28" t="n">
        <f aca="false">IF($A29="","",IF(N(AI28)&gt;0,AL28,AM28))</f>
        <v>46411.25</v>
      </c>
      <c r="AN29" s="27" t="str">
        <f aca="false">IF(OR(AK29="",AM29=""),"",(AK29-AM29)*24)</f>
        <v/>
      </c>
      <c r="AO29" s="21" t="n">
        <f aca="false">IF($A29="","",IF(N(AI29)&gt;0,N(AO28)+1,0))</f>
        <v>0</v>
      </c>
      <c r="AP29" s="21" t="n">
        <f aca="false">IF($A29="","",IF(N(AJ29)&gt;0,N(AP28)+1,0))</f>
        <v>0</v>
      </c>
      <c r="AQ29" s="21" t="str">
        <f aca="false">IF($A29="","",IF(WEEKDAY($A29,2)&lt;&gt;7,"",IF(AND(OR(AK29="",N(AK29)&gt;=$A29+16/24,N(AL29)&lt;=$A29+6/24),OR(AM29="",N(AM29)&lt;=$A29+6/24)),1,0)))</f>
        <v/>
      </c>
      <c r="AR29" s="26" t="str">
        <f aca="false">IF($A29="","",IF(INDEX(Muster!$C$10:$BF$10,1,MOD($A29-Einstellungen!$C$6,Einstellungen!$C$7)+1)="","-",INDEX(Muster!$C$10:$BF$10,1,MOD($A29-Einstellungen!$C$6,Einstellungen!$C$7)+1)))</f>
        <v>-</v>
      </c>
      <c r="AS29" s="27" t="n">
        <f aca="false">IF($A29="","",IFERROR(VLOOKUP(AR29,Schichten!$A$5:$G$24,6,FALSE()),0))</f>
        <v>0</v>
      </c>
      <c r="AT29" s="27" t="n">
        <f aca="false">IF($A29="","",IFERROR(VLOOKUP(AR29,Schichten!$A$5:$G$24,7,FALSE()),0))</f>
        <v>0</v>
      </c>
      <c r="AU29" s="28" t="str">
        <f aca="false">IF($A29="","",IF(N(AS29)=0,"",$A29+VLOOKUP(AR29,Schichten!$A$5:$G$24,3,FALSE())))</f>
        <v/>
      </c>
      <c r="AV29" s="28" t="str">
        <f aca="false">IF(AU29="","",$A29+VLOOKUP(AR29,Schichten!$A$5:$G$24,4,FALSE())+IF(VLOOKUP(AR29,Schichten!$A$5:$G$24,4,FALSE())&lt;=VLOOKUP(AR29,Schichten!$A$5:$G$24,3,FALSE()),1,0))</f>
        <v/>
      </c>
      <c r="AW29" s="28" t="str">
        <f aca="false">IF($A29="","",IF(N(AS28)&gt;0,AV28,AW28))</f>
        <v/>
      </c>
      <c r="AX29" s="27" t="str">
        <f aca="false">IF(OR(AU29="",AW29=""),"",(AU29-AW29)*24)</f>
        <v/>
      </c>
      <c r="AY29" s="21" t="n">
        <f aca="false">IF($A29="","",IF(N(AS29)&gt;0,N(AY28)+1,0))</f>
        <v>0</v>
      </c>
      <c r="AZ29" s="21" t="n">
        <f aca="false">IF($A29="","",IF(N(AT29)&gt;0,N(AZ28)+1,0))</f>
        <v>0</v>
      </c>
      <c r="BA29" s="21" t="str">
        <f aca="false">IF($A29="","",IF(WEEKDAY($A29,2)&lt;&gt;7,"",IF(AND(OR(AU29="",N(AU29)&gt;=$A29+16/24,N(AV29)&lt;=$A29+6/24),OR(AW29="",N(AW29)&lt;=$A29+6/24)),1,0)))</f>
        <v/>
      </c>
    </row>
    <row r="30" customFormat="false" ht="15" hidden="false" customHeight="false" outlineLevel="0" collapsed="false">
      <c r="A30" s="25" t="n">
        <f aca="false">IF(YEAR(DATE(Einstellungen!$C$4,1,1)+25)=Einstellungen!$C$4,DATE(Einstellungen!$C$4,1,1)+25,"")</f>
        <v>46413</v>
      </c>
      <c r="B30" s="26" t="str">
        <f aca="false">IF($A30="","",CHOOSE(WEEKDAY($A30,2),"Mo","Di","Mi","Do","Fr","Sa","So"))</f>
        <v>Di</v>
      </c>
      <c r="C30" s="26" t="n">
        <f aca="false">IF($A30="","",MONTH($A30))</f>
        <v>1</v>
      </c>
      <c r="D30" s="26" t="str">
        <f aca="false">IF($A30="","",IF(INDEX(Muster!$C$6:$BF$6,1,MOD($A30-Einstellungen!$C$6,Einstellungen!$C$7)+1)="","-",INDEX(Muster!$C$6:$BF$6,1,MOD($A30-Einstellungen!$C$6,Einstellungen!$C$7)+1)))</f>
        <v>-</v>
      </c>
      <c r="E30" s="27" t="n">
        <f aca="false">IF($A30="","",IFERROR(VLOOKUP(D30,Schichten!$A$5:$G$24,6,FALSE()),0))</f>
        <v>0</v>
      </c>
      <c r="F30" s="27" t="n">
        <f aca="false">IF($A30="","",IFERROR(VLOOKUP(D30,Schichten!$A$5:$G$24,7,FALSE()),0))</f>
        <v>0</v>
      </c>
      <c r="G30" s="28" t="str">
        <f aca="false">IF($A30="","",IF(N(E30)=0,"",$A30+VLOOKUP(D30,Schichten!$A$5:$G$24,3,FALSE())))</f>
        <v/>
      </c>
      <c r="H30" s="28" t="str">
        <f aca="false">IF(G30="","",$A30+VLOOKUP(D30,Schichten!$A$5:$G$24,4,FALSE())+IF(VLOOKUP(D30,Schichten!$A$5:$G$24,4,FALSE())&lt;=VLOOKUP(D30,Schichten!$A$5:$G$24,3,FALSE()),1,0))</f>
        <v/>
      </c>
      <c r="I30" s="28" t="n">
        <f aca="false">IF($A30="","",IF(N(E29)&gt;0,H29,I29))</f>
        <v>46413.25</v>
      </c>
      <c r="J30" s="27" t="str">
        <f aca="false">IF(OR(G30="",I30=""),"",(G30-I30)*24)</f>
        <v/>
      </c>
      <c r="K30" s="21" t="n">
        <f aca="false">IF($A30="","",IF(N(E30)&gt;0,N(K29)+1,0))</f>
        <v>0</v>
      </c>
      <c r="L30" s="21" t="n">
        <f aca="false">IF($A30="","",IF(N(F30)&gt;0,N(L29)+1,0))</f>
        <v>0</v>
      </c>
      <c r="M30" s="21" t="str">
        <f aca="false">IF($A30="","",IF(WEEKDAY($A30,2)&lt;&gt;7,"",IF(AND(OR(G30="",N(G30)&gt;=$A30+16/24,N(H30)&lt;=$A30+6/24),OR(I30="",N(I30)&lt;=$A30+6/24)),1,0)))</f>
        <v/>
      </c>
      <c r="N30" s="26" t="str">
        <f aca="false">IF($A30="","",IF(INDEX(Muster!$C$7:$BF$7,1,MOD($A30-Einstellungen!$C$6,Einstellungen!$C$7)+1)="","-",INDEX(Muster!$C$7:$BF$7,1,MOD($A30-Einstellungen!$C$6,Einstellungen!$C$7)+1)))</f>
        <v>N</v>
      </c>
      <c r="O30" s="27" t="n">
        <f aca="false">IF($A30="","",IFERROR(VLOOKUP(N30,Schichten!$A$5:$G$24,6,FALSE()),0))</f>
        <v>8</v>
      </c>
      <c r="P30" s="27" t="n">
        <f aca="false">IF($A30="","",IFERROR(VLOOKUP(N30,Schichten!$A$5:$G$24,7,FALSE()),0))</f>
        <v>7</v>
      </c>
      <c r="Q30" s="28" t="n">
        <f aca="false">IF($A30="","",IF(N(O30)=0,"",$A30+VLOOKUP(N30,Schichten!$A$5:$G$24,3,FALSE())))</f>
        <v>46413.9166666667</v>
      </c>
      <c r="R30" s="28" t="n">
        <f aca="false">IF(Q30="","",$A30+VLOOKUP(N30,Schichten!$A$5:$G$24,4,FALSE())+IF(VLOOKUP(N30,Schichten!$A$5:$G$24,4,FALSE())&lt;=VLOOKUP(N30,Schichten!$A$5:$G$24,3,FALSE()),1,0))</f>
        <v>46414.25</v>
      </c>
      <c r="S30" s="28" t="n">
        <f aca="false">IF($A30="","",IF(N(O29)&gt;0,R29,S29))</f>
        <v>46412.9166666667</v>
      </c>
      <c r="T30" s="27" t="n">
        <f aca="false">IF(OR(Q30="",S30=""),"",(Q30-S30)*24)</f>
        <v>24</v>
      </c>
      <c r="U30" s="21" t="n">
        <f aca="false">IF($A30="","",IF(N(O30)&gt;0,N(U29)+1,0))</f>
        <v>5</v>
      </c>
      <c r="V30" s="21" t="n">
        <f aca="false">IF($A30="","",IF(N(P30)&gt;0,N(V29)+1,0))</f>
        <v>1</v>
      </c>
      <c r="W30" s="21" t="str">
        <f aca="false">IF($A30="","",IF(WEEKDAY($A30,2)&lt;&gt;7,"",IF(AND(OR(Q30="",N(Q30)&gt;=$A30+16/24,N(R30)&lt;=$A30+6/24),OR(S30="",N(S30)&lt;=$A30+6/24)),1,0)))</f>
        <v/>
      </c>
      <c r="X30" s="26" t="str">
        <f aca="false">IF($A30="","",IF(INDEX(Muster!$C$8:$BF$8,1,MOD($A30-Einstellungen!$C$6,Einstellungen!$C$7)+1)="","-",INDEX(Muster!$C$8:$BF$8,1,MOD($A30-Einstellungen!$C$6,Einstellungen!$C$7)+1)))</f>
        <v>S</v>
      </c>
      <c r="Y30" s="27" t="n">
        <f aca="false">IF($A30="","",IFERROR(VLOOKUP(X30,Schichten!$A$5:$G$24,6,FALSE()),0))</f>
        <v>8</v>
      </c>
      <c r="Z30" s="27" t="n">
        <f aca="false">IF($A30="","",IFERROR(VLOOKUP(X30,Schichten!$A$5:$G$24,7,FALSE()),0))</f>
        <v>0</v>
      </c>
      <c r="AA30" s="28" t="n">
        <f aca="false">IF($A30="","",IF(N(Y30)=0,"",$A30+VLOOKUP(X30,Schichten!$A$5:$G$24,3,FALSE())))</f>
        <v>46413.5833333333</v>
      </c>
      <c r="AB30" s="28" t="n">
        <f aca="false">IF(AA30="","",$A30+VLOOKUP(X30,Schichten!$A$5:$G$24,4,FALSE())+IF(VLOOKUP(X30,Schichten!$A$5:$G$24,4,FALSE())&lt;=VLOOKUP(X30,Schichten!$A$5:$G$24,3,FALSE()),1,0))</f>
        <v>46413.9166666667</v>
      </c>
      <c r="AC30" s="28" t="n">
        <f aca="false">IF($A30="","",IF(N(Y29)&gt;0,AB29,AC29))</f>
        <v>46412.5833333333</v>
      </c>
      <c r="AD30" s="27" t="n">
        <f aca="false">IF(OR(AA30="",AC30=""),"",(AA30-AC30)*24)</f>
        <v>24</v>
      </c>
      <c r="AE30" s="21" t="n">
        <f aca="false">IF($A30="","",IF(N(Y30)&gt;0,N(AE29)+1,0))</f>
        <v>3</v>
      </c>
      <c r="AF30" s="21" t="n">
        <f aca="false">IF($A30="","",IF(N(Z30)&gt;0,N(AF29)+1,0))</f>
        <v>0</v>
      </c>
      <c r="AG30" s="21" t="str">
        <f aca="false">IF($A30="","",IF(WEEKDAY($A30,2)&lt;&gt;7,"",IF(AND(OR(AA30="",N(AA30)&gt;=$A30+16/24,N(AB30)&lt;=$A30+6/24),OR(AC30="",N(AC30)&lt;=$A30+6/24)),1,0)))</f>
        <v/>
      </c>
      <c r="AH30" s="26" t="str">
        <f aca="false">IF($A30="","",IF(INDEX(Muster!$C$9:$BF$9,1,MOD($A30-Einstellungen!$C$6,Einstellungen!$C$7)+1)="","-",INDEX(Muster!$C$9:$BF$9,1,MOD($A30-Einstellungen!$C$6,Einstellungen!$C$7)+1)))</f>
        <v>F</v>
      </c>
      <c r="AI30" s="27" t="n">
        <f aca="false">IF($A30="","",IFERROR(VLOOKUP(AH30,Schichten!$A$5:$G$24,6,FALSE()),0))</f>
        <v>8</v>
      </c>
      <c r="AJ30" s="27" t="n">
        <f aca="false">IF($A30="","",IFERROR(VLOOKUP(AH30,Schichten!$A$5:$G$24,7,FALSE()),0))</f>
        <v>0</v>
      </c>
      <c r="AK30" s="28" t="n">
        <f aca="false">IF($A30="","",IF(N(AI30)=0,"",$A30+VLOOKUP(AH30,Schichten!$A$5:$G$24,3,FALSE())))</f>
        <v>46413.25</v>
      </c>
      <c r="AL30" s="28" t="n">
        <f aca="false">IF(AK30="","",$A30+VLOOKUP(AH30,Schichten!$A$5:$G$24,4,FALSE())+IF(VLOOKUP(AH30,Schichten!$A$5:$G$24,4,FALSE())&lt;=VLOOKUP(AH30,Schichten!$A$5:$G$24,3,FALSE()),1,0))</f>
        <v>46413.5833333333</v>
      </c>
      <c r="AM30" s="28" t="n">
        <f aca="false">IF($A30="","",IF(N(AI29)&gt;0,AL29,AM29))</f>
        <v>46411.25</v>
      </c>
      <c r="AN30" s="27" t="n">
        <f aca="false">IF(OR(AK30="",AM30=""),"",(AK30-AM30)*24)</f>
        <v>48</v>
      </c>
      <c r="AO30" s="21" t="n">
        <f aca="false">IF($A30="","",IF(N(AI30)&gt;0,N(AO29)+1,0))</f>
        <v>1</v>
      </c>
      <c r="AP30" s="21" t="n">
        <f aca="false">IF($A30="","",IF(N(AJ30)&gt;0,N(AP29)+1,0))</f>
        <v>0</v>
      </c>
      <c r="AQ30" s="21" t="str">
        <f aca="false">IF($A30="","",IF(WEEKDAY($A30,2)&lt;&gt;7,"",IF(AND(OR(AK30="",N(AK30)&gt;=$A30+16/24,N(AL30)&lt;=$A30+6/24),OR(AM30="",N(AM30)&lt;=$A30+6/24)),1,0)))</f>
        <v/>
      </c>
      <c r="AR30" s="26" t="str">
        <f aca="false">IF($A30="","",IF(INDEX(Muster!$C$10:$BF$10,1,MOD($A30-Einstellungen!$C$6,Einstellungen!$C$7)+1)="","-",INDEX(Muster!$C$10:$BF$10,1,MOD($A30-Einstellungen!$C$6,Einstellungen!$C$7)+1)))</f>
        <v>-</v>
      </c>
      <c r="AS30" s="27" t="n">
        <f aca="false">IF($A30="","",IFERROR(VLOOKUP(AR30,Schichten!$A$5:$G$24,6,FALSE()),0))</f>
        <v>0</v>
      </c>
      <c r="AT30" s="27" t="n">
        <f aca="false">IF($A30="","",IFERROR(VLOOKUP(AR30,Schichten!$A$5:$G$24,7,FALSE()),0))</f>
        <v>0</v>
      </c>
      <c r="AU30" s="28" t="str">
        <f aca="false">IF($A30="","",IF(N(AS30)=0,"",$A30+VLOOKUP(AR30,Schichten!$A$5:$G$24,3,FALSE())))</f>
        <v/>
      </c>
      <c r="AV30" s="28" t="str">
        <f aca="false">IF(AU30="","",$A30+VLOOKUP(AR30,Schichten!$A$5:$G$24,4,FALSE())+IF(VLOOKUP(AR30,Schichten!$A$5:$G$24,4,FALSE())&lt;=VLOOKUP(AR30,Schichten!$A$5:$G$24,3,FALSE()),1,0))</f>
        <v/>
      </c>
      <c r="AW30" s="28" t="str">
        <f aca="false">IF($A30="","",IF(N(AS29)&gt;0,AV29,AW29))</f>
        <v/>
      </c>
      <c r="AX30" s="27" t="str">
        <f aca="false">IF(OR(AU30="",AW30=""),"",(AU30-AW30)*24)</f>
        <v/>
      </c>
      <c r="AY30" s="21" t="n">
        <f aca="false">IF($A30="","",IF(N(AS30)&gt;0,N(AY29)+1,0))</f>
        <v>0</v>
      </c>
      <c r="AZ30" s="21" t="n">
        <f aca="false">IF($A30="","",IF(N(AT30)&gt;0,N(AZ29)+1,0))</f>
        <v>0</v>
      </c>
      <c r="BA30" s="21" t="str">
        <f aca="false">IF($A30="","",IF(WEEKDAY($A30,2)&lt;&gt;7,"",IF(AND(OR(AU30="",N(AU30)&gt;=$A30+16/24,N(AV30)&lt;=$A30+6/24),OR(AW30="",N(AW30)&lt;=$A30+6/24)),1,0)))</f>
        <v/>
      </c>
    </row>
    <row r="31" customFormat="false" ht="15" hidden="false" customHeight="false" outlineLevel="0" collapsed="false">
      <c r="A31" s="25" t="n">
        <f aca="false">IF(YEAR(DATE(Einstellungen!$C$4,1,1)+26)=Einstellungen!$C$4,DATE(Einstellungen!$C$4,1,1)+26,"")</f>
        <v>46414</v>
      </c>
      <c r="B31" s="26" t="str">
        <f aca="false">IF($A31="","",CHOOSE(WEEKDAY($A31,2),"Mo","Di","Mi","Do","Fr","Sa","So"))</f>
        <v>Mi</v>
      </c>
      <c r="C31" s="26" t="n">
        <f aca="false">IF($A31="","",MONTH($A31))</f>
        <v>1</v>
      </c>
      <c r="D31" s="26" t="str">
        <f aca="false">IF($A31="","",IF(INDEX(Muster!$C$6:$BF$6,1,MOD($A31-Einstellungen!$C$6,Einstellungen!$C$7)+1)="","-",INDEX(Muster!$C$6:$BF$6,1,MOD($A31-Einstellungen!$C$6,Einstellungen!$C$7)+1)))</f>
        <v>-</v>
      </c>
      <c r="E31" s="27" t="n">
        <f aca="false">IF($A31="","",IFERROR(VLOOKUP(D31,Schichten!$A$5:$G$24,6,FALSE()),0))</f>
        <v>0</v>
      </c>
      <c r="F31" s="27" t="n">
        <f aca="false">IF($A31="","",IFERROR(VLOOKUP(D31,Schichten!$A$5:$G$24,7,FALSE()),0))</f>
        <v>0</v>
      </c>
      <c r="G31" s="28" t="str">
        <f aca="false">IF($A31="","",IF(N(E31)=0,"",$A31+VLOOKUP(D31,Schichten!$A$5:$G$24,3,FALSE())))</f>
        <v/>
      </c>
      <c r="H31" s="28" t="str">
        <f aca="false">IF(G31="","",$A31+VLOOKUP(D31,Schichten!$A$5:$G$24,4,FALSE())+IF(VLOOKUP(D31,Schichten!$A$5:$G$24,4,FALSE())&lt;=VLOOKUP(D31,Schichten!$A$5:$G$24,3,FALSE()),1,0))</f>
        <v/>
      </c>
      <c r="I31" s="28" t="n">
        <f aca="false">IF($A31="","",IF(N(E30)&gt;0,H30,I30))</f>
        <v>46413.25</v>
      </c>
      <c r="J31" s="27" t="str">
        <f aca="false">IF(OR(G31="",I31=""),"",(G31-I31)*24)</f>
        <v/>
      </c>
      <c r="K31" s="21" t="n">
        <f aca="false">IF($A31="","",IF(N(E31)&gt;0,N(K30)+1,0))</f>
        <v>0</v>
      </c>
      <c r="L31" s="21" t="n">
        <f aca="false">IF($A31="","",IF(N(F31)&gt;0,N(L30)+1,0))</f>
        <v>0</v>
      </c>
      <c r="M31" s="21" t="str">
        <f aca="false">IF($A31="","",IF(WEEKDAY($A31,2)&lt;&gt;7,"",IF(AND(OR(G31="",N(G31)&gt;=$A31+16/24,N(H31)&lt;=$A31+6/24),OR(I31="",N(I31)&lt;=$A31+6/24)),1,0)))</f>
        <v/>
      </c>
      <c r="N31" s="26" t="str">
        <f aca="false">IF($A31="","",IF(INDEX(Muster!$C$7:$BF$7,1,MOD($A31-Einstellungen!$C$6,Einstellungen!$C$7)+1)="","-",INDEX(Muster!$C$7:$BF$7,1,MOD($A31-Einstellungen!$C$6,Einstellungen!$C$7)+1)))</f>
        <v>N</v>
      </c>
      <c r="O31" s="27" t="n">
        <f aca="false">IF($A31="","",IFERROR(VLOOKUP(N31,Schichten!$A$5:$G$24,6,FALSE()),0))</f>
        <v>8</v>
      </c>
      <c r="P31" s="27" t="n">
        <f aca="false">IF($A31="","",IFERROR(VLOOKUP(N31,Schichten!$A$5:$G$24,7,FALSE()),0))</f>
        <v>7</v>
      </c>
      <c r="Q31" s="28" t="n">
        <f aca="false">IF($A31="","",IF(N(O31)=0,"",$A31+VLOOKUP(N31,Schichten!$A$5:$G$24,3,FALSE())))</f>
        <v>46414.9166666667</v>
      </c>
      <c r="R31" s="28" t="n">
        <f aca="false">IF(Q31="","",$A31+VLOOKUP(N31,Schichten!$A$5:$G$24,4,FALSE())+IF(VLOOKUP(N31,Schichten!$A$5:$G$24,4,FALSE())&lt;=VLOOKUP(N31,Schichten!$A$5:$G$24,3,FALSE()),1,0))</f>
        <v>46415.25</v>
      </c>
      <c r="S31" s="28" t="n">
        <f aca="false">IF($A31="","",IF(N(O30)&gt;0,R30,S30))</f>
        <v>46414.25</v>
      </c>
      <c r="T31" s="27" t="n">
        <f aca="false">IF(OR(Q31="",S31=""),"",(Q31-S31)*24)</f>
        <v>16</v>
      </c>
      <c r="U31" s="21" t="n">
        <f aca="false">IF($A31="","",IF(N(O31)&gt;0,N(U30)+1,0))</f>
        <v>6</v>
      </c>
      <c r="V31" s="21" t="n">
        <f aca="false">IF($A31="","",IF(N(P31)&gt;0,N(V30)+1,0))</f>
        <v>2</v>
      </c>
      <c r="W31" s="21" t="str">
        <f aca="false">IF($A31="","",IF(WEEKDAY($A31,2)&lt;&gt;7,"",IF(AND(OR(Q31="",N(Q31)&gt;=$A31+16/24,N(R31)&lt;=$A31+6/24),OR(S31="",N(S31)&lt;=$A31+6/24)),1,0)))</f>
        <v/>
      </c>
      <c r="X31" s="26" t="str">
        <f aca="false">IF($A31="","",IF(INDEX(Muster!$C$8:$BF$8,1,MOD($A31-Einstellungen!$C$6,Einstellungen!$C$7)+1)="","-",INDEX(Muster!$C$8:$BF$8,1,MOD($A31-Einstellungen!$C$6,Einstellungen!$C$7)+1)))</f>
        <v>S</v>
      </c>
      <c r="Y31" s="27" t="n">
        <f aca="false">IF($A31="","",IFERROR(VLOOKUP(X31,Schichten!$A$5:$G$24,6,FALSE()),0))</f>
        <v>8</v>
      </c>
      <c r="Z31" s="27" t="n">
        <f aca="false">IF($A31="","",IFERROR(VLOOKUP(X31,Schichten!$A$5:$G$24,7,FALSE()),0))</f>
        <v>0</v>
      </c>
      <c r="AA31" s="28" t="n">
        <f aca="false">IF($A31="","",IF(N(Y31)=0,"",$A31+VLOOKUP(X31,Schichten!$A$5:$G$24,3,FALSE())))</f>
        <v>46414.5833333333</v>
      </c>
      <c r="AB31" s="28" t="n">
        <f aca="false">IF(AA31="","",$A31+VLOOKUP(X31,Schichten!$A$5:$G$24,4,FALSE())+IF(VLOOKUP(X31,Schichten!$A$5:$G$24,4,FALSE())&lt;=VLOOKUP(X31,Schichten!$A$5:$G$24,3,FALSE()),1,0))</f>
        <v>46414.9166666667</v>
      </c>
      <c r="AC31" s="28" t="n">
        <f aca="false">IF($A31="","",IF(N(Y30)&gt;0,AB30,AC30))</f>
        <v>46413.9166666667</v>
      </c>
      <c r="AD31" s="27" t="n">
        <f aca="false">IF(OR(AA31="",AC31=""),"",(AA31-AC31)*24)</f>
        <v>16</v>
      </c>
      <c r="AE31" s="21" t="n">
        <f aca="false">IF($A31="","",IF(N(Y31)&gt;0,N(AE30)+1,0))</f>
        <v>4</v>
      </c>
      <c r="AF31" s="21" t="n">
        <f aca="false">IF($A31="","",IF(N(Z31)&gt;0,N(AF30)+1,0))</f>
        <v>0</v>
      </c>
      <c r="AG31" s="21" t="str">
        <f aca="false">IF($A31="","",IF(WEEKDAY($A31,2)&lt;&gt;7,"",IF(AND(OR(AA31="",N(AA31)&gt;=$A31+16/24,N(AB31)&lt;=$A31+6/24),OR(AC31="",N(AC31)&lt;=$A31+6/24)),1,0)))</f>
        <v/>
      </c>
      <c r="AH31" s="26" t="str">
        <f aca="false">IF($A31="","",IF(INDEX(Muster!$C$9:$BF$9,1,MOD($A31-Einstellungen!$C$6,Einstellungen!$C$7)+1)="","-",INDEX(Muster!$C$9:$BF$9,1,MOD($A31-Einstellungen!$C$6,Einstellungen!$C$7)+1)))</f>
        <v>F</v>
      </c>
      <c r="AI31" s="27" t="n">
        <f aca="false">IF($A31="","",IFERROR(VLOOKUP(AH31,Schichten!$A$5:$G$24,6,FALSE()),0))</f>
        <v>8</v>
      </c>
      <c r="AJ31" s="27" t="n">
        <f aca="false">IF($A31="","",IFERROR(VLOOKUP(AH31,Schichten!$A$5:$G$24,7,FALSE()),0))</f>
        <v>0</v>
      </c>
      <c r="AK31" s="28" t="n">
        <f aca="false">IF($A31="","",IF(N(AI31)=0,"",$A31+VLOOKUP(AH31,Schichten!$A$5:$G$24,3,FALSE())))</f>
        <v>46414.25</v>
      </c>
      <c r="AL31" s="28" t="n">
        <f aca="false">IF(AK31="","",$A31+VLOOKUP(AH31,Schichten!$A$5:$G$24,4,FALSE())+IF(VLOOKUP(AH31,Schichten!$A$5:$G$24,4,FALSE())&lt;=VLOOKUP(AH31,Schichten!$A$5:$G$24,3,FALSE()),1,0))</f>
        <v>46414.5833333333</v>
      </c>
      <c r="AM31" s="28" t="n">
        <f aca="false">IF($A31="","",IF(N(AI30)&gt;0,AL30,AM30))</f>
        <v>46413.5833333333</v>
      </c>
      <c r="AN31" s="27" t="n">
        <f aca="false">IF(OR(AK31="",AM31=""),"",(AK31-AM31)*24)</f>
        <v>16</v>
      </c>
      <c r="AO31" s="21" t="n">
        <f aca="false">IF($A31="","",IF(N(AI31)&gt;0,N(AO30)+1,0))</f>
        <v>2</v>
      </c>
      <c r="AP31" s="21" t="n">
        <f aca="false">IF($A31="","",IF(N(AJ31)&gt;0,N(AP30)+1,0))</f>
        <v>0</v>
      </c>
      <c r="AQ31" s="21" t="str">
        <f aca="false">IF($A31="","",IF(WEEKDAY($A31,2)&lt;&gt;7,"",IF(AND(OR(AK31="",N(AK31)&gt;=$A31+16/24,N(AL31)&lt;=$A31+6/24),OR(AM31="",N(AM31)&lt;=$A31+6/24)),1,0)))</f>
        <v/>
      </c>
      <c r="AR31" s="26" t="str">
        <f aca="false">IF($A31="","",IF(INDEX(Muster!$C$10:$BF$10,1,MOD($A31-Einstellungen!$C$6,Einstellungen!$C$7)+1)="","-",INDEX(Muster!$C$10:$BF$10,1,MOD($A31-Einstellungen!$C$6,Einstellungen!$C$7)+1)))</f>
        <v>-</v>
      </c>
      <c r="AS31" s="27" t="n">
        <f aca="false">IF($A31="","",IFERROR(VLOOKUP(AR31,Schichten!$A$5:$G$24,6,FALSE()),0))</f>
        <v>0</v>
      </c>
      <c r="AT31" s="27" t="n">
        <f aca="false">IF($A31="","",IFERROR(VLOOKUP(AR31,Schichten!$A$5:$G$24,7,FALSE()),0))</f>
        <v>0</v>
      </c>
      <c r="AU31" s="28" t="str">
        <f aca="false">IF($A31="","",IF(N(AS31)=0,"",$A31+VLOOKUP(AR31,Schichten!$A$5:$G$24,3,FALSE())))</f>
        <v/>
      </c>
      <c r="AV31" s="28" t="str">
        <f aca="false">IF(AU31="","",$A31+VLOOKUP(AR31,Schichten!$A$5:$G$24,4,FALSE())+IF(VLOOKUP(AR31,Schichten!$A$5:$G$24,4,FALSE())&lt;=VLOOKUP(AR31,Schichten!$A$5:$G$24,3,FALSE()),1,0))</f>
        <v/>
      </c>
      <c r="AW31" s="28" t="str">
        <f aca="false">IF($A31="","",IF(N(AS30)&gt;0,AV30,AW30))</f>
        <v/>
      </c>
      <c r="AX31" s="27" t="str">
        <f aca="false">IF(OR(AU31="",AW31=""),"",(AU31-AW31)*24)</f>
        <v/>
      </c>
      <c r="AY31" s="21" t="n">
        <f aca="false">IF($A31="","",IF(N(AS31)&gt;0,N(AY30)+1,0))</f>
        <v>0</v>
      </c>
      <c r="AZ31" s="21" t="n">
        <f aca="false">IF($A31="","",IF(N(AT31)&gt;0,N(AZ30)+1,0))</f>
        <v>0</v>
      </c>
      <c r="BA31" s="21" t="str">
        <f aca="false">IF($A31="","",IF(WEEKDAY($A31,2)&lt;&gt;7,"",IF(AND(OR(AU31="",N(AU31)&gt;=$A31+16/24,N(AV31)&lt;=$A31+6/24),OR(AW31="",N(AW31)&lt;=$A31+6/24)),1,0)))</f>
        <v/>
      </c>
    </row>
    <row r="32" customFormat="false" ht="15" hidden="false" customHeight="false" outlineLevel="0" collapsed="false">
      <c r="A32" s="25" t="n">
        <f aca="false">IF(YEAR(DATE(Einstellungen!$C$4,1,1)+27)=Einstellungen!$C$4,DATE(Einstellungen!$C$4,1,1)+27,"")</f>
        <v>46415</v>
      </c>
      <c r="B32" s="26" t="str">
        <f aca="false">IF($A32="","",CHOOSE(WEEKDAY($A32,2),"Mo","Di","Mi","Do","Fr","Sa","So"))</f>
        <v>Do</v>
      </c>
      <c r="C32" s="26" t="n">
        <f aca="false">IF($A32="","",MONTH($A32))</f>
        <v>1</v>
      </c>
      <c r="D32" s="26" t="str">
        <f aca="false">IF($A32="","",IF(INDEX(Muster!$C$6:$BF$6,1,MOD($A32-Einstellungen!$C$6,Einstellungen!$C$7)+1)="","-",INDEX(Muster!$C$6:$BF$6,1,MOD($A32-Einstellungen!$C$6,Einstellungen!$C$7)+1)))</f>
        <v>F</v>
      </c>
      <c r="E32" s="27" t="n">
        <f aca="false">IF($A32="","",IFERROR(VLOOKUP(D32,Schichten!$A$5:$G$24,6,FALSE()),0))</f>
        <v>8</v>
      </c>
      <c r="F32" s="27" t="n">
        <f aca="false">IF($A32="","",IFERROR(VLOOKUP(D32,Schichten!$A$5:$G$24,7,FALSE()),0))</f>
        <v>0</v>
      </c>
      <c r="G32" s="28" t="n">
        <f aca="false">IF($A32="","",IF(N(E32)=0,"",$A32+VLOOKUP(D32,Schichten!$A$5:$G$24,3,FALSE())))</f>
        <v>46415.25</v>
      </c>
      <c r="H32" s="28" t="n">
        <f aca="false">IF(G32="","",$A32+VLOOKUP(D32,Schichten!$A$5:$G$24,4,FALSE())+IF(VLOOKUP(D32,Schichten!$A$5:$G$24,4,FALSE())&lt;=VLOOKUP(D32,Schichten!$A$5:$G$24,3,FALSE()),1,0))</f>
        <v>46415.5833333333</v>
      </c>
      <c r="I32" s="28" t="n">
        <f aca="false">IF($A32="","",IF(N(E31)&gt;0,H31,I31))</f>
        <v>46413.25</v>
      </c>
      <c r="J32" s="27" t="n">
        <f aca="false">IF(OR(G32="",I32=""),"",(G32-I32)*24)</f>
        <v>48</v>
      </c>
      <c r="K32" s="21" t="n">
        <f aca="false">IF($A32="","",IF(N(E32)&gt;0,N(K31)+1,0))</f>
        <v>1</v>
      </c>
      <c r="L32" s="21" t="n">
        <f aca="false">IF($A32="","",IF(N(F32)&gt;0,N(L31)+1,0))</f>
        <v>0</v>
      </c>
      <c r="M32" s="21" t="str">
        <f aca="false">IF($A32="","",IF(WEEKDAY($A32,2)&lt;&gt;7,"",IF(AND(OR(G32="",N(G32)&gt;=$A32+16/24,N(H32)&lt;=$A32+6/24),OR(I32="",N(I32)&lt;=$A32+6/24)),1,0)))</f>
        <v/>
      </c>
      <c r="N32" s="26" t="str">
        <f aca="false">IF($A32="","",IF(INDEX(Muster!$C$7:$BF$7,1,MOD($A32-Einstellungen!$C$6,Einstellungen!$C$7)+1)="","-",INDEX(Muster!$C$7:$BF$7,1,MOD($A32-Einstellungen!$C$6,Einstellungen!$C$7)+1)))</f>
        <v>-</v>
      </c>
      <c r="O32" s="27" t="n">
        <f aca="false">IF($A32="","",IFERROR(VLOOKUP(N32,Schichten!$A$5:$G$24,6,FALSE()),0))</f>
        <v>0</v>
      </c>
      <c r="P32" s="27" t="n">
        <f aca="false">IF($A32="","",IFERROR(VLOOKUP(N32,Schichten!$A$5:$G$24,7,FALSE()),0))</f>
        <v>0</v>
      </c>
      <c r="Q32" s="28" t="str">
        <f aca="false">IF($A32="","",IF(N(O32)=0,"",$A32+VLOOKUP(N32,Schichten!$A$5:$G$24,3,FALSE())))</f>
        <v/>
      </c>
      <c r="R32" s="28" t="str">
        <f aca="false">IF(Q32="","",$A32+VLOOKUP(N32,Schichten!$A$5:$G$24,4,FALSE())+IF(VLOOKUP(N32,Schichten!$A$5:$G$24,4,FALSE())&lt;=VLOOKUP(N32,Schichten!$A$5:$G$24,3,FALSE()),1,0))</f>
        <v/>
      </c>
      <c r="S32" s="28" t="n">
        <f aca="false">IF($A32="","",IF(N(O31)&gt;0,R31,S31))</f>
        <v>46415.25</v>
      </c>
      <c r="T32" s="27" t="str">
        <f aca="false">IF(OR(Q32="",S32=""),"",(Q32-S32)*24)</f>
        <v/>
      </c>
      <c r="U32" s="21" t="n">
        <f aca="false">IF($A32="","",IF(N(O32)&gt;0,N(U31)+1,0))</f>
        <v>0</v>
      </c>
      <c r="V32" s="21" t="n">
        <f aca="false">IF($A32="","",IF(N(P32)&gt;0,N(V31)+1,0))</f>
        <v>0</v>
      </c>
      <c r="W32" s="21" t="str">
        <f aca="false">IF($A32="","",IF(WEEKDAY($A32,2)&lt;&gt;7,"",IF(AND(OR(Q32="",N(Q32)&gt;=$A32+16/24,N(R32)&lt;=$A32+6/24),OR(S32="",N(S32)&lt;=$A32+6/24)),1,0)))</f>
        <v/>
      </c>
      <c r="X32" s="26" t="str">
        <f aca="false">IF($A32="","",IF(INDEX(Muster!$C$8:$BF$8,1,MOD($A32-Einstellungen!$C$6,Einstellungen!$C$7)+1)="","-",INDEX(Muster!$C$8:$BF$8,1,MOD($A32-Einstellungen!$C$6,Einstellungen!$C$7)+1)))</f>
        <v>N</v>
      </c>
      <c r="Y32" s="27" t="n">
        <f aca="false">IF($A32="","",IFERROR(VLOOKUP(X32,Schichten!$A$5:$G$24,6,FALSE()),0))</f>
        <v>8</v>
      </c>
      <c r="Z32" s="27" t="n">
        <f aca="false">IF($A32="","",IFERROR(VLOOKUP(X32,Schichten!$A$5:$G$24,7,FALSE()),0))</f>
        <v>7</v>
      </c>
      <c r="AA32" s="28" t="n">
        <f aca="false">IF($A32="","",IF(N(Y32)=0,"",$A32+VLOOKUP(X32,Schichten!$A$5:$G$24,3,FALSE())))</f>
        <v>46415.9166666667</v>
      </c>
      <c r="AB32" s="28" t="n">
        <f aca="false">IF(AA32="","",$A32+VLOOKUP(X32,Schichten!$A$5:$G$24,4,FALSE())+IF(VLOOKUP(X32,Schichten!$A$5:$G$24,4,FALSE())&lt;=VLOOKUP(X32,Schichten!$A$5:$G$24,3,FALSE()),1,0))</f>
        <v>46416.25</v>
      </c>
      <c r="AC32" s="28" t="n">
        <f aca="false">IF($A32="","",IF(N(Y31)&gt;0,AB31,AC31))</f>
        <v>46414.9166666667</v>
      </c>
      <c r="AD32" s="27" t="n">
        <f aca="false">IF(OR(AA32="",AC32=""),"",(AA32-AC32)*24)</f>
        <v>24</v>
      </c>
      <c r="AE32" s="21" t="n">
        <f aca="false">IF($A32="","",IF(N(Y32)&gt;0,N(AE31)+1,0))</f>
        <v>5</v>
      </c>
      <c r="AF32" s="21" t="n">
        <f aca="false">IF($A32="","",IF(N(Z32)&gt;0,N(AF31)+1,0))</f>
        <v>1</v>
      </c>
      <c r="AG32" s="21" t="str">
        <f aca="false">IF($A32="","",IF(WEEKDAY($A32,2)&lt;&gt;7,"",IF(AND(OR(AA32="",N(AA32)&gt;=$A32+16/24,N(AB32)&lt;=$A32+6/24),OR(AC32="",N(AC32)&lt;=$A32+6/24)),1,0)))</f>
        <v/>
      </c>
      <c r="AH32" s="26" t="str">
        <f aca="false">IF($A32="","",IF(INDEX(Muster!$C$9:$BF$9,1,MOD($A32-Einstellungen!$C$6,Einstellungen!$C$7)+1)="","-",INDEX(Muster!$C$9:$BF$9,1,MOD($A32-Einstellungen!$C$6,Einstellungen!$C$7)+1)))</f>
        <v>S</v>
      </c>
      <c r="AI32" s="27" t="n">
        <f aca="false">IF($A32="","",IFERROR(VLOOKUP(AH32,Schichten!$A$5:$G$24,6,FALSE()),0))</f>
        <v>8</v>
      </c>
      <c r="AJ32" s="27" t="n">
        <f aca="false">IF($A32="","",IFERROR(VLOOKUP(AH32,Schichten!$A$5:$G$24,7,FALSE()),0))</f>
        <v>0</v>
      </c>
      <c r="AK32" s="28" t="n">
        <f aca="false">IF($A32="","",IF(N(AI32)=0,"",$A32+VLOOKUP(AH32,Schichten!$A$5:$G$24,3,FALSE())))</f>
        <v>46415.5833333333</v>
      </c>
      <c r="AL32" s="28" t="n">
        <f aca="false">IF(AK32="","",$A32+VLOOKUP(AH32,Schichten!$A$5:$G$24,4,FALSE())+IF(VLOOKUP(AH32,Schichten!$A$5:$G$24,4,FALSE())&lt;=VLOOKUP(AH32,Schichten!$A$5:$G$24,3,FALSE()),1,0))</f>
        <v>46415.9166666667</v>
      </c>
      <c r="AM32" s="28" t="n">
        <f aca="false">IF($A32="","",IF(N(AI31)&gt;0,AL31,AM31))</f>
        <v>46414.5833333333</v>
      </c>
      <c r="AN32" s="27" t="n">
        <f aca="false">IF(OR(AK32="",AM32=""),"",(AK32-AM32)*24)</f>
        <v>24</v>
      </c>
      <c r="AO32" s="21" t="n">
        <f aca="false">IF($A32="","",IF(N(AI32)&gt;0,N(AO31)+1,0))</f>
        <v>3</v>
      </c>
      <c r="AP32" s="21" t="n">
        <f aca="false">IF($A32="","",IF(N(AJ32)&gt;0,N(AP31)+1,0))</f>
        <v>0</v>
      </c>
      <c r="AQ32" s="21" t="str">
        <f aca="false">IF($A32="","",IF(WEEKDAY($A32,2)&lt;&gt;7,"",IF(AND(OR(AK32="",N(AK32)&gt;=$A32+16/24,N(AL32)&lt;=$A32+6/24),OR(AM32="",N(AM32)&lt;=$A32+6/24)),1,0)))</f>
        <v/>
      </c>
      <c r="AR32" s="26" t="str">
        <f aca="false">IF($A32="","",IF(INDEX(Muster!$C$10:$BF$10,1,MOD($A32-Einstellungen!$C$6,Einstellungen!$C$7)+1)="","-",INDEX(Muster!$C$10:$BF$10,1,MOD($A32-Einstellungen!$C$6,Einstellungen!$C$7)+1)))</f>
        <v>-</v>
      </c>
      <c r="AS32" s="27" t="n">
        <f aca="false">IF($A32="","",IFERROR(VLOOKUP(AR32,Schichten!$A$5:$G$24,6,FALSE()),0))</f>
        <v>0</v>
      </c>
      <c r="AT32" s="27" t="n">
        <f aca="false">IF($A32="","",IFERROR(VLOOKUP(AR32,Schichten!$A$5:$G$24,7,FALSE()),0))</f>
        <v>0</v>
      </c>
      <c r="AU32" s="28" t="str">
        <f aca="false">IF($A32="","",IF(N(AS32)=0,"",$A32+VLOOKUP(AR32,Schichten!$A$5:$G$24,3,FALSE())))</f>
        <v/>
      </c>
      <c r="AV32" s="28" t="str">
        <f aca="false">IF(AU32="","",$A32+VLOOKUP(AR32,Schichten!$A$5:$G$24,4,FALSE())+IF(VLOOKUP(AR32,Schichten!$A$5:$G$24,4,FALSE())&lt;=VLOOKUP(AR32,Schichten!$A$5:$G$24,3,FALSE()),1,0))</f>
        <v/>
      </c>
      <c r="AW32" s="28" t="str">
        <f aca="false">IF($A32="","",IF(N(AS31)&gt;0,AV31,AW31))</f>
        <v/>
      </c>
      <c r="AX32" s="27" t="str">
        <f aca="false">IF(OR(AU32="",AW32=""),"",(AU32-AW32)*24)</f>
        <v/>
      </c>
      <c r="AY32" s="21" t="n">
        <f aca="false">IF($A32="","",IF(N(AS32)&gt;0,N(AY31)+1,0))</f>
        <v>0</v>
      </c>
      <c r="AZ32" s="21" t="n">
        <f aca="false">IF($A32="","",IF(N(AT32)&gt;0,N(AZ31)+1,0))</f>
        <v>0</v>
      </c>
      <c r="BA32" s="21" t="str">
        <f aca="false">IF($A32="","",IF(WEEKDAY($A32,2)&lt;&gt;7,"",IF(AND(OR(AU32="",N(AU32)&gt;=$A32+16/24,N(AV32)&lt;=$A32+6/24),OR(AW32="",N(AW32)&lt;=$A32+6/24)),1,0)))</f>
        <v/>
      </c>
    </row>
    <row r="33" customFormat="false" ht="15" hidden="false" customHeight="false" outlineLevel="0" collapsed="false">
      <c r="A33" s="25" t="n">
        <f aca="false">IF(YEAR(DATE(Einstellungen!$C$4,1,1)+28)=Einstellungen!$C$4,DATE(Einstellungen!$C$4,1,1)+28,"")</f>
        <v>46416</v>
      </c>
      <c r="B33" s="26" t="str">
        <f aca="false">IF($A33="","",CHOOSE(WEEKDAY($A33,2),"Mo","Di","Mi","Do","Fr","Sa","So"))</f>
        <v>Fr</v>
      </c>
      <c r="C33" s="26" t="n">
        <f aca="false">IF($A33="","",MONTH($A33))</f>
        <v>1</v>
      </c>
      <c r="D33" s="26" t="str">
        <f aca="false">IF($A33="","",IF(INDEX(Muster!$C$6:$BF$6,1,MOD($A33-Einstellungen!$C$6,Einstellungen!$C$7)+1)="","-",INDEX(Muster!$C$6:$BF$6,1,MOD($A33-Einstellungen!$C$6,Einstellungen!$C$7)+1)))</f>
        <v>F</v>
      </c>
      <c r="E33" s="27" t="n">
        <f aca="false">IF($A33="","",IFERROR(VLOOKUP(D33,Schichten!$A$5:$G$24,6,FALSE()),0))</f>
        <v>8</v>
      </c>
      <c r="F33" s="27" t="n">
        <f aca="false">IF($A33="","",IFERROR(VLOOKUP(D33,Schichten!$A$5:$G$24,7,FALSE()),0))</f>
        <v>0</v>
      </c>
      <c r="G33" s="28" t="n">
        <f aca="false">IF($A33="","",IF(N(E33)=0,"",$A33+VLOOKUP(D33,Schichten!$A$5:$G$24,3,FALSE())))</f>
        <v>46416.25</v>
      </c>
      <c r="H33" s="28" t="n">
        <f aca="false">IF(G33="","",$A33+VLOOKUP(D33,Schichten!$A$5:$G$24,4,FALSE())+IF(VLOOKUP(D33,Schichten!$A$5:$G$24,4,FALSE())&lt;=VLOOKUP(D33,Schichten!$A$5:$G$24,3,FALSE()),1,0))</f>
        <v>46416.5833333333</v>
      </c>
      <c r="I33" s="28" t="n">
        <f aca="false">IF($A33="","",IF(N(E32)&gt;0,H32,I32))</f>
        <v>46415.5833333333</v>
      </c>
      <c r="J33" s="27" t="n">
        <f aca="false">IF(OR(G33="",I33=""),"",(G33-I33)*24)</f>
        <v>16</v>
      </c>
      <c r="K33" s="21" t="n">
        <f aca="false">IF($A33="","",IF(N(E33)&gt;0,N(K32)+1,0))</f>
        <v>2</v>
      </c>
      <c r="L33" s="21" t="n">
        <f aca="false">IF($A33="","",IF(N(F33)&gt;0,N(L32)+1,0))</f>
        <v>0</v>
      </c>
      <c r="M33" s="21" t="str">
        <f aca="false">IF($A33="","",IF(WEEKDAY($A33,2)&lt;&gt;7,"",IF(AND(OR(G33="",N(G33)&gt;=$A33+16/24,N(H33)&lt;=$A33+6/24),OR(I33="",N(I33)&lt;=$A33+6/24)),1,0)))</f>
        <v/>
      </c>
      <c r="N33" s="26" t="str">
        <f aca="false">IF($A33="","",IF(INDEX(Muster!$C$7:$BF$7,1,MOD($A33-Einstellungen!$C$6,Einstellungen!$C$7)+1)="","-",INDEX(Muster!$C$7:$BF$7,1,MOD($A33-Einstellungen!$C$6,Einstellungen!$C$7)+1)))</f>
        <v>-</v>
      </c>
      <c r="O33" s="27" t="n">
        <f aca="false">IF($A33="","",IFERROR(VLOOKUP(N33,Schichten!$A$5:$G$24,6,FALSE()),0))</f>
        <v>0</v>
      </c>
      <c r="P33" s="27" t="n">
        <f aca="false">IF($A33="","",IFERROR(VLOOKUP(N33,Schichten!$A$5:$G$24,7,FALSE()),0))</f>
        <v>0</v>
      </c>
      <c r="Q33" s="28" t="str">
        <f aca="false">IF($A33="","",IF(N(O33)=0,"",$A33+VLOOKUP(N33,Schichten!$A$5:$G$24,3,FALSE())))</f>
        <v/>
      </c>
      <c r="R33" s="28" t="str">
        <f aca="false">IF(Q33="","",$A33+VLOOKUP(N33,Schichten!$A$5:$G$24,4,FALSE())+IF(VLOOKUP(N33,Schichten!$A$5:$G$24,4,FALSE())&lt;=VLOOKUP(N33,Schichten!$A$5:$G$24,3,FALSE()),1,0))</f>
        <v/>
      </c>
      <c r="S33" s="28" t="n">
        <f aca="false">IF($A33="","",IF(N(O32)&gt;0,R32,S32))</f>
        <v>46415.25</v>
      </c>
      <c r="T33" s="27" t="str">
        <f aca="false">IF(OR(Q33="",S33=""),"",(Q33-S33)*24)</f>
        <v/>
      </c>
      <c r="U33" s="21" t="n">
        <f aca="false">IF($A33="","",IF(N(O33)&gt;0,N(U32)+1,0))</f>
        <v>0</v>
      </c>
      <c r="V33" s="21" t="n">
        <f aca="false">IF($A33="","",IF(N(P33)&gt;0,N(V32)+1,0))</f>
        <v>0</v>
      </c>
      <c r="W33" s="21" t="str">
        <f aca="false">IF($A33="","",IF(WEEKDAY($A33,2)&lt;&gt;7,"",IF(AND(OR(Q33="",N(Q33)&gt;=$A33+16/24,N(R33)&lt;=$A33+6/24),OR(S33="",N(S33)&lt;=$A33+6/24)),1,0)))</f>
        <v/>
      </c>
      <c r="X33" s="26" t="str">
        <f aca="false">IF($A33="","",IF(INDEX(Muster!$C$8:$BF$8,1,MOD($A33-Einstellungen!$C$6,Einstellungen!$C$7)+1)="","-",INDEX(Muster!$C$8:$BF$8,1,MOD($A33-Einstellungen!$C$6,Einstellungen!$C$7)+1)))</f>
        <v>N</v>
      </c>
      <c r="Y33" s="27" t="n">
        <f aca="false">IF($A33="","",IFERROR(VLOOKUP(X33,Schichten!$A$5:$G$24,6,FALSE()),0))</f>
        <v>8</v>
      </c>
      <c r="Z33" s="27" t="n">
        <f aca="false">IF($A33="","",IFERROR(VLOOKUP(X33,Schichten!$A$5:$G$24,7,FALSE()),0))</f>
        <v>7</v>
      </c>
      <c r="AA33" s="28" t="n">
        <f aca="false">IF($A33="","",IF(N(Y33)=0,"",$A33+VLOOKUP(X33,Schichten!$A$5:$G$24,3,FALSE())))</f>
        <v>46416.9166666667</v>
      </c>
      <c r="AB33" s="28" t="n">
        <f aca="false">IF(AA33="","",$A33+VLOOKUP(X33,Schichten!$A$5:$G$24,4,FALSE())+IF(VLOOKUP(X33,Schichten!$A$5:$G$24,4,FALSE())&lt;=VLOOKUP(X33,Schichten!$A$5:$G$24,3,FALSE()),1,0))</f>
        <v>46417.25</v>
      </c>
      <c r="AC33" s="28" t="n">
        <f aca="false">IF($A33="","",IF(N(Y32)&gt;0,AB32,AC32))</f>
        <v>46416.25</v>
      </c>
      <c r="AD33" s="27" t="n">
        <f aca="false">IF(OR(AA33="",AC33=""),"",(AA33-AC33)*24)</f>
        <v>16</v>
      </c>
      <c r="AE33" s="21" t="n">
        <f aca="false">IF($A33="","",IF(N(Y33)&gt;0,N(AE32)+1,0))</f>
        <v>6</v>
      </c>
      <c r="AF33" s="21" t="n">
        <f aca="false">IF($A33="","",IF(N(Z33)&gt;0,N(AF32)+1,0))</f>
        <v>2</v>
      </c>
      <c r="AG33" s="21" t="str">
        <f aca="false">IF($A33="","",IF(WEEKDAY($A33,2)&lt;&gt;7,"",IF(AND(OR(AA33="",N(AA33)&gt;=$A33+16/24,N(AB33)&lt;=$A33+6/24),OR(AC33="",N(AC33)&lt;=$A33+6/24)),1,0)))</f>
        <v/>
      </c>
      <c r="AH33" s="26" t="str">
        <f aca="false">IF($A33="","",IF(INDEX(Muster!$C$9:$BF$9,1,MOD($A33-Einstellungen!$C$6,Einstellungen!$C$7)+1)="","-",INDEX(Muster!$C$9:$BF$9,1,MOD($A33-Einstellungen!$C$6,Einstellungen!$C$7)+1)))</f>
        <v>S</v>
      </c>
      <c r="AI33" s="27" t="n">
        <f aca="false">IF($A33="","",IFERROR(VLOOKUP(AH33,Schichten!$A$5:$G$24,6,FALSE()),0))</f>
        <v>8</v>
      </c>
      <c r="AJ33" s="27" t="n">
        <f aca="false">IF($A33="","",IFERROR(VLOOKUP(AH33,Schichten!$A$5:$G$24,7,FALSE()),0))</f>
        <v>0</v>
      </c>
      <c r="AK33" s="28" t="n">
        <f aca="false">IF($A33="","",IF(N(AI33)=0,"",$A33+VLOOKUP(AH33,Schichten!$A$5:$G$24,3,FALSE())))</f>
        <v>46416.5833333333</v>
      </c>
      <c r="AL33" s="28" t="n">
        <f aca="false">IF(AK33="","",$A33+VLOOKUP(AH33,Schichten!$A$5:$G$24,4,FALSE())+IF(VLOOKUP(AH33,Schichten!$A$5:$G$24,4,FALSE())&lt;=VLOOKUP(AH33,Schichten!$A$5:$G$24,3,FALSE()),1,0))</f>
        <v>46416.9166666667</v>
      </c>
      <c r="AM33" s="28" t="n">
        <f aca="false">IF($A33="","",IF(N(AI32)&gt;0,AL32,AM32))</f>
        <v>46415.9166666667</v>
      </c>
      <c r="AN33" s="27" t="n">
        <f aca="false">IF(OR(AK33="",AM33=""),"",(AK33-AM33)*24)</f>
        <v>16</v>
      </c>
      <c r="AO33" s="21" t="n">
        <f aca="false">IF($A33="","",IF(N(AI33)&gt;0,N(AO32)+1,0))</f>
        <v>4</v>
      </c>
      <c r="AP33" s="21" t="n">
        <f aca="false">IF($A33="","",IF(N(AJ33)&gt;0,N(AP32)+1,0))</f>
        <v>0</v>
      </c>
      <c r="AQ33" s="21" t="str">
        <f aca="false">IF($A33="","",IF(WEEKDAY($A33,2)&lt;&gt;7,"",IF(AND(OR(AK33="",N(AK33)&gt;=$A33+16/24,N(AL33)&lt;=$A33+6/24),OR(AM33="",N(AM33)&lt;=$A33+6/24)),1,0)))</f>
        <v/>
      </c>
      <c r="AR33" s="26" t="str">
        <f aca="false">IF($A33="","",IF(INDEX(Muster!$C$10:$BF$10,1,MOD($A33-Einstellungen!$C$6,Einstellungen!$C$7)+1)="","-",INDEX(Muster!$C$10:$BF$10,1,MOD($A33-Einstellungen!$C$6,Einstellungen!$C$7)+1)))</f>
        <v>-</v>
      </c>
      <c r="AS33" s="27" t="n">
        <f aca="false">IF($A33="","",IFERROR(VLOOKUP(AR33,Schichten!$A$5:$G$24,6,FALSE()),0))</f>
        <v>0</v>
      </c>
      <c r="AT33" s="27" t="n">
        <f aca="false">IF($A33="","",IFERROR(VLOOKUP(AR33,Schichten!$A$5:$G$24,7,FALSE()),0))</f>
        <v>0</v>
      </c>
      <c r="AU33" s="28" t="str">
        <f aca="false">IF($A33="","",IF(N(AS33)=0,"",$A33+VLOOKUP(AR33,Schichten!$A$5:$G$24,3,FALSE())))</f>
        <v/>
      </c>
      <c r="AV33" s="28" t="str">
        <f aca="false">IF(AU33="","",$A33+VLOOKUP(AR33,Schichten!$A$5:$G$24,4,FALSE())+IF(VLOOKUP(AR33,Schichten!$A$5:$G$24,4,FALSE())&lt;=VLOOKUP(AR33,Schichten!$A$5:$G$24,3,FALSE()),1,0))</f>
        <v/>
      </c>
      <c r="AW33" s="28" t="str">
        <f aca="false">IF($A33="","",IF(N(AS32)&gt;0,AV32,AW32))</f>
        <v/>
      </c>
      <c r="AX33" s="27" t="str">
        <f aca="false">IF(OR(AU33="",AW33=""),"",(AU33-AW33)*24)</f>
        <v/>
      </c>
      <c r="AY33" s="21" t="n">
        <f aca="false">IF($A33="","",IF(N(AS33)&gt;0,N(AY32)+1,0))</f>
        <v>0</v>
      </c>
      <c r="AZ33" s="21" t="n">
        <f aca="false">IF($A33="","",IF(N(AT33)&gt;0,N(AZ32)+1,0))</f>
        <v>0</v>
      </c>
      <c r="BA33" s="21" t="str">
        <f aca="false">IF($A33="","",IF(WEEKDAY($A33,2)&lt;&gt;7,"",IF(AND(OR(AU33="",N(AU33)&gt;=$A33+16/24,N(AV33)&lt;=$A33+6/24),OR(AW33="",N(AW33)&lt;=$A33+6/24)),1,0)))</f>
        <v/>
      </c>
    </row>
    <row r="34" customFormat="false" ht="15" hidden="false" customHeight="false" outlineLevel="0" collapsed="false">
      <c r="A34" s="25" t="n">
        <f aca="false">IF(YEAR(DATE(Einstellungen!$C$4,1,1)+29)=Einstellungen!$C$4,DATE(Einstellungen!$C$4,1,1)+29,"")</f>
        <v>46417</v>
      </c>
      <c r="B34" s="26" t="str">
        <f aca="false">IF($A34="","",CHOOSE(WEEKDAY($A34,2),"Mo","Di","Mi","Do","Fr","Sa","So"))</f>
        <v>Sa</v>
      </c>
      <c r="C34" s="26" t="n">
        <f aca="false">IF($A34="","",MONTH($A34))</f>
        <v>1</v>
      </c>
      <c r="D34" s="26" t="str">
        <f aca="false">IF($A34="","",IF(INDEX(Muster!$C$6:$BF$6,1,MOD($A34-Einstellungen!$C$6,Einstellungen!$C$7)+1)="","-",INDEX(Muster!$C$6:$BF$6,1,MOD($A34-Einstellungen!$C$6,Einstellungen!$C$7)+1)))</f>
        <v>S</v>
      </c>
      <c r="E34" s="27" t="n">
        <f aca="false">IF($A34="","",IFERROR(VLOOKUP(D34,Schichten!$A$5:$G$24,6,FALSE()),0))</f>
        <v>8</v>
      </c>
      <c r="F34" s="27" t="n">
        <f aca="false">IF($A34="","",IFERROR(VLOOKUP(D34,Schichten!$A$5:$G$24,7,FALSE()),0))</f>
        <v>0</v>
      </c>
      <c r="G34" s="28" t="n">
        <f aca="false">IF($A34="","",IF(N(E34)=0,"",$A34+VLOOKUP(D34,Schichten!$A$5:$G$24,3,FALSE())))</f>
        <v>46417.5833333333</v>
      </c>
      <c r="H34" s="28" t="n">
        <f aca="false">IF(G34="","",$A34+VLOOKUP(D34,Schichten!$A$5:$G$24,4,FALSE())+IF(VLOOKUP(D34,Schichten!$A$5:$G$24,4,FALSE())&lt;=VLOOKUP(D34,Schichten!$A$5:$G$24,3,FALSE()),1,0))</f>
        <v>46417.9166666667</v>
      </c>
      <c r="I34" s="28" t="n">
        <f aca="false">IF($A34="","",IF(N(E33)&gt;0,H33,I33))</f>
        <v>46416.5833333333</v>
      </c>
      <c r="J34" s="27" t="n">
        <f aca="false">IF(OR(G34="",I34=""),"",(G34-I34)*24)</f>
        <v>24</v>
      </c>
      <c r="K34" s="21" t="n">
        <f aca="false">IF($A34="","",IF(N(E34)&gt;0,N(K33)+1,0))</f>
        <v>3</v>
      </c>
      <c r="L34" s="21" t="n">
        <f aca="false">IF($A34="","",IF(N(F34)&gt;0,N(L33)+1,0))</f>
        <v>0</v>
      </c>
      <c r="M34" s="21" t="str">
        <f aca="false">IF($A34="","",IF(WEEKDAY($A34,2)&lt;&gt;7,"",IF(AND(OR(G34="",N(G34)&gt;=$A34+16/24,N(H34)&lt;=$A34+6/24),OR(I34="",N(I34)&lt;=$A34+6/24)),1,0)))</f>
        <v/>
      </c>
      <c r="N34" s="26" t="str">
        <f aca="false">IF($A34="","",IF(INDEX(Muster!$C$7:$BF$7,1,MOD($A34-Einstellungen!$C$6,Einstellungen!$C$7)+1)="","-",INDEX(Muster!$C$7:$BF$7,1,MOD($A34-Einstellungen!$C$6,Einstellungen!$C$7)+1)))</f>
        <v>F</v>
      </c>
      <c r="O34" s="27" t="n">
        <f aca="false">IF($A34="","",IFERROR(VLOOKUP(N34,Schichten!$A$5:$G$24,6,FALSE()),0))</f>
        <v>8</v>
      </c>
      <c r="P34" s="27" t="n">
        <f aca="false">IF($A34="","",IFERROR(VLOOKUP(N34,Schichten!$A$5:$G$24,7,FALSE()),0))</f>
        <v>0</v>
      </c>
      <c r="Q34" s="28" t="n">
        <f aca="false">IF($A34="","",IF(N(O34)=0,"",$A34+VLOOKUP(N34,Schichten!$A$5:$G$24,3,FALSE())))</f>
        <v>46417.25</v>
      </c>
      <c r="R34" s="28" t="n">
        <f aca="false">IF(Q34="","",$A34+VLOOKUP(N34,Schichten!$A$5:$G$24,4,FALSE())+IF(VLOOKUP(N34,Schichten!$A$5:$G$24,4,FALSE())&lt;=VLOOKUP(N34,Schichten!$A$5:$G$24,3,FALSE()),1,0))</f>
        <v>46417.5833333333</v>
      </c>
      <c r="S34" s="28" t="n">
        <f aca="false">IF($A34="","",IF(N(O33)&gt;0,R33,S33))</f>
        <v>46415.25</v>
      </c>
      <c r="T34" s="27" t="n">
        <f aca="false">IF(OR(Q34="",S34=""),"",(Q34-S34)*24)</f>
        <v>48</v>
      </c>
      <c r="U34" s="21" t="n">
        <f aca="false">IF($A34="","",IF(N(O34)&gt;0,N(U33)+1,0))</f>
        <v>1</v>
      </c>
      <c r="V34" s="21" t="n">
        <f aca="false">IF($A34="","",IF(N(P34)&gt;0,N(V33)+1,0))</f>
        <v>0</v>
      </c>
      <c r="W34" s="21" t="str">
        <f aca="false">IF($A34="","",IF(WEEKDAY($A34,2)&lt;&gt;7,"",IF(AND(OR(Q34="",N(Q34)&gt;=$A34+16/24,N(R34)&lt;=$A34+6/24),OR(S34="",N(S34)&lt;=$A34+6/24)),1,0)))</f>
        <v/>
      </c>
      <c r="X34" s="26" t="str">
        <f aca="false">IF($A34="","",IF(INDEX(Muster!$C$8:$BF$8,1,MOD($A34-Einstellungen!$C$6,Einstellungen!$C$7)+1)="","-",INDEX(Muster!$C$8:$BF$8,1,MOD($A34-Einstellungen!$C$6,Einstellungen!$C$7)+1)))</f>
        <v>-</v>
      </c>
      <c r="Y34" s="27" t="n">
        <f aca="false">IF($A34="","",IFERROR(VLOOKUP(X34,Schichten!$A$5:$G$24,6,FALSE()),0))</f>
        <v>0</v>
      </c>
      <c r="Z34" s="27" t="n">
        <f aca="false">IF($A34="","",IFERROR(VLOOKUP(X34,Schichten!$A$5:$G$24,7,FALSE()),0))</f>
        <v>0</v>
      </c>
      <c r="AA34" s="28" t="str">
        <f aca="false">IF($A34="","",IF(N(Y34)=0,"",$A34+VLOOKUP(X34,Schichten!$A$5:$G$24,3,FALSE())))</f>
        <v/>
      </c>
      <c r="AB34" s="28" t="str">
        <f aca="false">IF(AA34="","",$A34+VLOOKUP(X34,Schichten!$A$5:$G$24,4,FALSE())+IF(VLOOKUP(X34,Schichten!$A$5:$G$24,4,FALSE())&lt;=VLOOKUP(X34,Schichten!$A$5:$G$24,3,FALSE()),1,0))</f>
        <v/>
      </c>
      <c r="AC34" s="28" t="n">
        <f aca="false">IF($A34="","",IF(N(Y33)&gt;0,AB33,AC33))</f>
        <v>46417.25</v>
      </c>
      <c r="AD34" s="27" t="str">
        <f aca="false">IF(OR(AA34="",AC34=""),"",(AA34-AC34)*24)</f>
        <v/>
      </c>
      <c r="AE34" s="21" t="n">
        <f aca="false">IF($A34="","",IF(N(Y34)&gt;0,N(AE33)+1,0))</f>
        <v>0</v>
      </c>
      <c r="AF34" s="21" t="n">
        <f aca="false">IF($A34="","",IF(N(Z34)&gt;0,N(AF33)+1,0))</f>
        <v>0</v>
      </c>
      <c r="AG34" s="21" t="str">
        <f aca="false">IF($A34="","",IF(WEEKDAY($A34,2)&lt;&gt;7,"",IF(AND(OR(AA34="",N(AA34)&gt;=$A34+16/24,N(AB34)&lt;=$A34+6/24),OR(AC34="",N(AC34)&lt;=$A34+6/24)),1,0)))</f>
        <v/>
      </c>
      <c r="AH34" s="26" t="str">
        <f aca="false">IF($A34="","",IF(INDEX(Muster!$C$9:$BF$9,1,MOD($A34-Einstellungen!$C$6,Einstellungen!$C$7)+1)="","-",INDEX(Muster!$C$9:$BF$9,1,MOD($A34-Einstellungen!$C$6,Einstellungen!$C$7)+1)))</f>
        <v>N</v>
      </c>
      <c r="AI34" s="27" t="n">
        <f aca="false">IF($A34="","",IFERROR(VLOOKUP(AH34,Schichten!$A$5:$G$24,6,FALSE()),0))</f>
        <v>8</v>
      </c>
      <c r="AJ34" s="27" t="n">
        <f aca="false">IF($A34="","",IFERROR(VLOOKUP(AH34,Schichten!$A$5:$G$24,7,FALSE()),0))</f>
        <v>7</v>
      </c>
      <c r="AK34" s="28" t="n">
        <f aca="false">IF($A34="","",IF(N(AI34)=0,"",$A34+VLOOKUP(AH34,Schichten!$A$5:$G$24,3,FALSE())))</f>
        <v>46417.9166666667</v>
      </c>
      <c r="AL34" s="28" t="n">
        <f aca="false">IF(AK34="","",$A34+VLOOKUP(AH34,Schichten!$A$5:$G$24,4,FALSE())+IF(VLOOKUP(AH34,Schichten!$A$5:$G$24,4,FALSE())&lt;=VLOOKUP(AH34,Schichten!$A$5:$G$24,3,FALSE()),1,0))</f>
        <v>46418.25</v>
      </c>
      <c r="AM34" s="28" t="n">
        <f aca="false">IF($A34="","",IF(N(AI33)&gt;0,AL33,AM33))</f>
        <v>46416.9166666667</v>
      </c>
      <c r="AN34" s="27" t="n">
        <f aca="false">IF(OR(AK34="",AM34=""),"",(AK34-AM34)*24)</f>
        <v>24</v>
      </c>
      <c r="AO34" s="21" t="n">
        <f aca="false">IF($A34="","",IF(N(AI34)&gt;0,N(AO33)+1,0))</f>
        <v>5</v>
      </c>
      <c r="AP34" s="21" t="n">
        <f aca="false">IF($A34="","",IF(N(AJ34)&gt;0,N(AP33)+1,0))</f>
        <v>1</v>
      </c>
      <c r="AQ34" s="21" t="str">
        <f aca="false">IF($A34="","",IF(WEEKDAY($A34,2)&lt;&gt;7,"",IF(AND(OR(AK34="",N(AK34)&gt;=$A34+16/24,N(AL34)&lt;=$A34+6/24),OR(AM34="",N(AM34)&lt;=$A34+6/24)),1,0)))</f>
        <v/>
      </c>
      <c r="AR34" s="26" t="str">
        <f aca="false">IF($A34="","",IF(INDEX(Muster!$C$10:$BF$10,1,MOD($A34-Einstellungen!$C$6,Einstellungen!$C$7)+1)="","-",INDEX(Muster!$C$10:$BF$10,1,MOD($A34-Einstellungen!$C$6,Einstellungen!$C$7)+1)))</f>
        <v>-</v>
      </c>
      <c r="AS34" s="27" t="n">
        <f aca="false">IF($A34="","",IFERROR(VLOOKUP(AR34,Schichten!$A$5:$G$24,6,FALSE()),0))</f>
        <v>0</v>
      </c>
      <c r="AT34" s="27" t="n">
        <f aca="false">IF($A34="","",IFERROR(VLOOKUP(AR34,Schichten!$A$5:$G$24,7,FALSE()),0))</f>
        <v>0</v>
      </c>
      <c r="AU34" s="28" t="str">
        <f aca="false">IF($A34="","",IF(N(AS34)=0,"",$A34+VLOOKUP(AR34,Schichten!$A$5:$G$24,3,FALSE())))</f>
        <v/>
      </c>
      <c r="AV34" s="28" t="str">
        <f aca="false">IF(AU34="","",$A34+VLOOKUP(AR34,Schichten!$A$5:$G$24,4,FALSE())+IF(VLOOKUP(AR34,Schichten!$A$5:$G$24,4,FALSE())&lt;=VLOOKUP(AR34,Schichten!$A$5:$G$24,3,FALSE()),1,0))</f>
        <v/>
      </c>
      <c r="AW34" s="28" t="str">
        <f aca="false">IF($A34="","",IF(N(AS33)&gt;0,AV33,AW33))</f>
        <v/>
      </c>
      <c r="AX34" s="27" t="str">
        <f aca="false">IF(OR(AU34="",AW34=""),"",(AU34-AW34)*24)</f>
        <v/>
      </c>
      <c r="AY34" s="21" t="n">
        <f aca="false">IF($A34="","",IF(N(AS34)&gt;0,N(AY33)+1,0))</f>
        <v>0</v>
      </c>
      <c r="AZ34" s="21" t="n">
        <f aca="false">IF($A34="","",IF(N(AT34)&gt;0,N(AZ33)+1,0))</f>
        <v>0</v>
      </c>
      <c r="BA34" s="21" t="str">
        <f aca="false">IF($A34="","",IF(WEEKDAY($A34,2)&lt;&gt;7,"",IF(AND(OR(AU34="",N(AU34)&gt;=$A34+16/24,N(AV34)&lt;=$A34+6/24),OR(AW34="",N(AW34)&lt;=$A34+6/24)),1,0)))</f>
        <v/>
      </c>
    </row>
    <row r="35" customFormat="false" ht="15" hidden="false" customHeight="false" outlineLevel="0" collapsed="false">
      <c r="A35" s="25" t="n">
        <f aca="false">IF(YEAR(DATE(Einstellungen!$C$4,1,1)+30)=Einstellungen!$C$4,DATE(Einstellungen!$C$4,1,1)+30,"")</f>
        <v>46418</v>
      </c>
      <c r="B35" s="26" t="str">
        <f aca="false">IF($A35="","",CHOOSE(WEEKDAY($A35,2),"Mo","Di","Mi","Do","Fr","Sa","So"))</f>
        <v>So</v>
      </c>
      <c r="C35" s="26" t="n">
        <f aca="false">IF($A35="","",MONTH($A35))</f>
        <v>1</v>
      </c>
      <c r="D35" s="26" t="str">
        <f aca="false">IF($A35="","",IF(INDEX(Muster!$C$6:$BF$6,1,MOD($A35-Einstellungen!$C$6,Einstellungen!$C$7)+1)="","-",INDEX(Muster!$C$6:$BF$6,1,MOD($A35-Einstellungen!$C$6,Einstellungen!$C$7)+1)))</f>
        <v>S</v>
      </c>
      <c r="E35" s="27" t="n">
        <f aca="false">IF($A35="","",IFERROR(VLOOKUP(D35,Schichten!$A$5:$G$24,6,FALSE()),0))</f>
        <v>8</v>
      </c>
      <c r="F35" s="27" t="n">
        <f aca="false">IF($A35="","",IFERROR(VLOOKUP(D35,Schichten!$A$5:$G$24,7,FALSE()),0))</f>
        <v>0</v>
      </c>
      <c r="G35" s="28" t="n">
        <f aca="false">IF($A35="","",IF(N(E35)=0,"",$A35+VLOOKUP(D35,Schichten!$A$5:$G$24,3,FALSE())))</f>
        <v>46418.5833333333</v>
      </c>
      <c r="H35" s="28" t="n">
        <f aca="false">IF(G35="","",$A35+VLOOKUP(D35,Schichten!$A$5:$G$24,4,FALSE())+IF(VLOOKUP(D35,Schichten!$A$5:$G$24,4,FALSE())&lt;=VLOOKUP(D35,Schichten!$A$5:$G$24,3,FALSE()),1,0))</f>
        <v>46418.9166666667</v>
      </c>
      <c r="I35" s="28" t="n">
        <f aca="false">IF($A35="","",IF(N(E34)&gt;0,H34,I34))</f>
        <v>46417.9166666667</v>
      </c>
      <c r="J35" s="27" t="n">
        <f aca="false">IF(OR(G35="",I35=""),"",(G35-I35)*24)</f>
        <v>16</v>
      </c>
      <c r="K35" s="21" t="n">
        <f aca="false">IF($A35="","",IF(N(E35)&gt;0,N(K34)+1,0))</f>
        <v>4</v>
      </c>
      <c r="L35" s="21" t="n">
        <f aca="false">IF($A35="","",IF(N(F35)&gt;0,N(L34)+1,0))</f>
        <v>0</v>
      </c>
      <c r="M35" s="21" t="n">
        <f aca="false">IF($A35="","",IF(WEEKDAY($A35,2)&lt;&gt;7,"",IF(AND(OR(G35="",N(G35)&gt;=$A35+16/24,N(H35)&lt;=$A35+6/24),OR(I35="",N(I35)&lt;=$A35+6/24)),1,0)))</f>
        <v>0</v>
      </c>
      <c r="N35" s="26" t="str">
        <f aca="false">IF($A35="","",IF(INDEX(Muster!$C$7:$BF$7,1,MOD($A35-Einstellungen!$C$6,Einstellungen!$C$7)+1)="","-",INDEX(Muster!$C$7:$BF$7,1,MOD($A35-Einstellungen!$C$6,Einstellungen!$C$7)+1)))</f>
        <v>F</v>
      </c>
      <c r="O35" s="27" t="n">
        <f aca="false">IF($A35="","",IFERROR(VLOOKUP(N35,Schichten!$A$5:$G$24,6,FALSE()),0))</f>
        <v>8</v>
      </c>
      <c r="P35" s="27" t="n">
        <f aca="false">IF($A35="","",IFERROR(VLOOKUP(N35,Schichten!$A$5:$G$24,7,FALSE()),0))</f>
        <v>0</v>
      </c>
      <c r="Q35" s="28" t="n">
        <f aca="false">IF($A35="","",IF(N(O35)=0,"",$A35+VLOOKUP(N35,Schichten!$A$5:$G$24,3,FALSE())))</f>
        <v>46418.25</v>
      </c>
      <c r="R35" s="28" t="n">
        <f aca="false">IF(Q35="","",$A35+VLOOKUP(N35,Schichten!$A$5:$G$24,4,FALSE())+IF(VLOOKUP(N35,Schichten!$A$5:$G$24,4,FALSE())&lt;=VLOOKUP(N35,Schichten!$A$5:$G$24,3,FALSE()),1,0))</f>
        <v>46418.5833333333</v>
      </c>
      <c r="S35" s="28" t="n">
        <f aca="false">IF($A35="","",IF(N(O34)&gt;0,R34,S34))</f>
        <v>46417.5833333333</v>
      </c>
      <c r="T35" s="27" t="n">
        <f aca="false">IF(OR(Q35="",S35=""),"",(Q35-S35)*24)</f>
        <v>16</v>
      </c>
      <c r="U35" s="21" t="n">
        <f aca="false">IF($A35="","",IF(N(O35)&gt;0,N(U34)+1,0))</f>
        <v>2</v>
      </c>
      <c r="V35" s="21" t="n">
        <f aca="false">IF($A35="","",IF(N(P35)&gt;0,N(V34)+1,0))</f>
        <v>0</v>
      </c>
      <c r="W35" s="21" t="n">
        <f aca="false">IF($A35="","",IF(WEEKDAY($A35,2)&lt;&gt;7,"",IF(AND(OR(Q35="",N(Q35)&gt;=$A35+16/24,N(R35)&lt;=$A35+6/24),OR(S35="",N(S35)&lt;=$A35+6/24)),1,0)))</f>
        <v>0</v>
      </c>
      <c r="X35" s="26" t="str">
        <f aca="false">IF($A35="","",IF(INDEX(Muster!$C$8:$BF$8,1,MOD($A35-Einstellungen!$C$6,Einstellungen!$C$7)+1)="","-",INDEX(Muster!$C$8:$BF$8,1,MOD($A35-Einstellungen!$C$6,Einstellungen!$C$7)+1)))</f>
        <v>-</v>
      </c>
      <c r="Y35" s="27" t="n">
        <f aca="false">IF($A35="","",IFERROR(VLOOKUP(X35,Schichten!$A$5:$G$24,6,FALSE()),0))</f>
        <v>0</v>
      </c>
      <c r="Z35" s="27" t="n">
        <f aca="false">IF($A35="","",IFERROR(VLOOKUP(X35,Schichten!$A$5:$G$24,7,FALSE()),0))</f>
        <v>0</v>
      </c>
      <c r="AA35" s="28" t="str">
        <f aca="false">IF($A35="","",IF(N(Y35)=0,"",$A35+VLOOKUP(X35,Schichten!$A$5:$G$24,3,FALSE())))</f>
        <v/>
      </c>
      <c r="AB35" s="28" t="str">
        <f aca="false">IF(AA35="","",$A35+VLOOKUP(X35,Schichten!$A$5:$G$24,4,FALSE())+IF(VLOOKUP(X35,Schichten!$A$5:$G$24,4,FALSE())&lt;=VLOOKUP(X35,Schichten!$A$5:$G$24,3,FALSE()),1,0))</f>
        <v/>
      </c>
      <c r="AC35" s="28" t="n">
        <f aca="false">IF($A35="","",IF(N(Y34)&gt;0,AB34,AC34))</f>
        <v>46417.25</v>
      </c>
      <c r="AD35" s="27" t="str">
        <f aca="false">IF(OR(AA35="",AC35=""),"",(AA35-AC35)*24)</f>
        <v/>
      </c>
      <c r="AE35" s="21" t="n">
        <f aca="false">IF($A35="","",IF(N(Y35)&gt;0,N(AE34)+1,0))</f>
        <v>0</v>
      </c>
      <c r="AF35" s="21" t="n">
        <f aca="false">IF($A35="","",IF(N(Z35)&gt;0,N(AF34)+1,0))</f>
        <v>0</v>
      </c>
      <c r="AG35" s="21" t="n">
        <f aca="false">IF($A35="","",IF(WEEKDAY($A35,2)&lt;&gt;7,"",IF(AND(OR(AA35="",N(AA35)&gt;=$A35+16/24,N(AB35)&lt;=$A35+6/24),OR(AC35="",N(AC35)&lt;=$A35+6/24)),1,0)))</f>
        <v>1</v>
      </c>
      <c r="AH35" s="26" t="str">
        <f aca="false">IF($A35="","",IF(INDEX(Muster!$C$9:$BF$9,1,MOD($A35-Einstellungen!$C$6,Einstellungen!$C$7)+1)="","-",INDEX(Muster!$C$9:$BF$9,1,MOD($A35-Einstellungen!$C$6,Einstellungen!$C$7)+1)))</f>
        <v>N</v>
      </c>
      <c r="AI35" s="27" t="n">
        <f aca="false">IF($A35="","",IFERROR(VLOOKUP(AH35,Schichten!$A$5:$G$24,6,FALSE()),0))</f>
        <v>8</v>
      </c>
      <c r="AJ35" s="27" t="n">
        <f aca="false">IF($A35="","",IFERROR(VLOOKUP(AH35,Schichten!$A$5:$G$24,7,FALSE()),0))</f>
        <v>7</v>
      </c>
      <c r="AK35" s="28" t="n">
        <f aca="false">IF($A35="","",IF(N(AI35)=0,"",$A35+VLOOKUP(AH35,Schichten!$A$5:$G$24,3,FALSE())))</f>
        <v>46418.9166666667</v>
      </c>
      <c r="AL35" s="28" t="n">
        <f aca="false">IF(AK35="","",$A35+VLOOKUP(AH35,Schichten!$A$5:$G$24,4,FALSE())+IF(VLOOKUP(AH35,Schichten!$A$5:$G$24,4,FALSE())&lt;=VLOOKUP(AH35,Schichten!$A$5:$G$24,3,FALSE()),1,0))</f>
        <v>46419.25</v>
      </c>
      <c r="AM35" s="28" t="n">
        <f aca="false">IF($A35="","",IF(N(AI34)&gt;0,AL34,AM34))</f>
        <v>46418.25</v>
      </c>
      <c r="AN35" s="27" t="n">
        <f aca="false">IF(OR(AK35="",AM35=""),"",(AK35-AM35)*24)</f>
        <v>16</v>
      </c>
      <c r="AO35" s="21" t="n">
        <f aca="false">IF($A35="","",IF(N(AI35)&gt;0,N(AO34)+1,0))</f>
        <v>6</v>
      </c>
      <c r="AP35" s="21" t="n">
        <f aca="false">IF($A35="","",IF(N(AJ35)&gt;0,N(AP34)+1,0))</f>
        <v>2</v>
      </c>
      <c r="AQ35" s="21" t="n">
        <f aca="false">IF($A35="","",IF(WEEKDAY($A35,2)&lt;&gt;7,"",IF(AND(OR(AK35="",N(AK35)&gt;=$A35+16/24,N(AL35)&lt;=$A35+6/24),OR(AM35="",N(AM35)&lt;=$A35+6/24)),1,0)))</f>
        <v>1</v>
      </c>
      <c r="AR35" s="26" t="str">
        <f aca="false">IF($A35="","",IF(INDEX(Muster!$C$10:$BF$10,1,MOD($A35-Einstellungen!$C$6,Einstellungen!$C$7)+1)="","-",INDEX(Muster!$C$10:$BF$10,1,MOD($A35-Einstellungen!$C$6,Einstellungen!$C$7)+1)))</f>
        <v>-</v>
      </c>
      <c r="AS35" s="27" t="n">
        <f aca="false">IF($A35="","",IFERROR(VLOOKUP(AR35,Schichten!$A$5:$G$24,6,FALSE()),0))</f>
        <v>0</v>
      </c>
      <c r="AT35" s="27" t="n">
        <f aca="false">IF($A35="","",IFERROR(VLOOKUP(AR35,Schichten!$A$5:$G$24,7,FALSE()),0))</f>
        <v>0</v>
      </c>
      <c r="AU35" s="28" t="str">
        <f aca="false">IF($A35="","",IF(N(AS35)=0,"",$A35+VLOOKUP(AR35,Schichten!$A$5:$G$24,3,FALSE())))</f>
        <v/>
      </c>
      <c r="AV35" s="28" t="str">
        <f aca="false">IF(AU35="","",$A35+VLOOKUP(AR35,Schichten!$A$5:$G$24,4,FALSE())+IF(VLOOKUP(AR35,Schichten!$A$5:$G$24,4,FALSE())&lt;=VLOOKUP(AR35,Schichten!$A$5:$G$24,3,FALSE()),1,0))</f>
        <v/>
      </c>
      <c r="AW35" s="28" t="str">
        <f aca="false">IF($A35="","",IF(N(AS34)&gt;0,AV34,AW34))</f>
        <v/>
      </c>
      <c r="AX35" s="27" t="str">
        <f aca="false">IF(OR(AU35="",AW35=""),"",(AU35-AW35)*24)</f>
        <v/>
      </c>
      <c r="AY35" s="21" t="n">
        <f aca="false">IF($A35="","",IF(N(AS35)&gt;0,N(AY34)+1,0))</f>
        <v>0</v>
      </c>
      <c r="AZ35" s="21" t="n">
        <f aca="false">IF($A35="","",IF(N(AT35)&gt;0,N(AZ34)+1,0))</f>
        <v>0</v>
      </c>
      <c r="BA35" s="21" t="n">
        <f aca="false">IF($A35="","",IF(WEEKDAY($A35,2)&lt;&gt;7,"",IF(AND(OR(AU35="",N(AU35)&gt;=$A35+16/24,N(AV35)&lt;=$A35+6/24),OR(AW35="",N(AW35)&lt;=$A35+6/24)),1,0)))</f>
        <v>1</v>
      </c>
    </row>
    <row r="36" customFormat="false" ht="15" hidden="false" customHeight="false" outlineLevel="0" collapsed="false">
      <c r="A36" s="25" t="n">
        <f aca="false">IF(YEAR(DATE(Einstellungen!$C$4,1,1)+31)=Einstellungen!$C$4,DATE(Einstellungen!$C$4,1,1)+31,"")</f>
        <v>46419</v>
      </c>
      <c r="B36" s="26" t="str">
        <f aca="false">IF($A36="","",CHOOSE(WEEKDAY($A36,2),"Mo","Di","Mi","Do","Fr","Sa","So"))</f>
        <v>Mo</v>
      </c>
      <c r="C36" s="26" t="n">
        <f aca="false">IF($A36="","",MONTH($A36))</f>
        <v>2</v>
      </c>
      <c r="D36" s="26" t="str">
        <f aca="false">IF($A36="","",IF(INDEX(Muster!$C$6:$BF$6,1,MOD($A36-Einstellungen!$C$6,Einstellungen!$C$7)+1)="","-",INDEX(Muster!$C$6:$BF$6,1,MOD($A36-Einstellungen!$C$6,Einstellungen!$C$7)+1)))</f>
        <v>N</v>
      </c>
      <c r="E36" s="27" t="n">
        <f aca="false">IF($A36="","",IFERROR(VLOOKUP(D36,Schichten!$A$5:$G$24,6,FALSE()),0))</f>
        <v>8</v>
      </c>
      <c r="F36" s="27" t="n">
        <f aca="false">IF($A36="","",IFERROR(VLOOKUP(D36,Schichten!$A$5:$G$24,7,FALSE()),0))</f>
        <v>7</v>
      </c>
      <c r="G36" s="28" t="n">
        <f aca="false">IF($A36="","",IF(N(E36)=0,"",$A36+VLOOKUP(D36,Schichten!$A$5:$G$24,3,FALSE())))</f>
        <v>46419.9166666667</v>
      </c>
      <c r="H36" s="28" t="n">
        <f aca="false">IF(G36="","",$A36+VLOOKUP(D36,Schichten!$A$5:$G$24,4,FALSE())+IF(VLOOKUP(D36,Schichten!$A$5:$G$24,4,FALSE())&lt;=VLOOKUP(D36,Schichten!$A$5:$G$24,3,FALSE()),1,0))</f>
        <v>46420.25</v>
      </c>
      <c r="I36" s="28" t="n">
        <f aca="false">IF($A36="","",IF(N(E35)&gt;0,H35,I35))</f>
        <v>46418.9166666667</v>
      </c>
      <c r="J36" s="27" t="n">
        <f aca="false">IF(OR(G36="",I36=""),"",(G36-I36)*24)</f>
        <v>24</v>
      </c>
      <c r="K36" s="21" t="n">
        <f aca="false">IF($A36="","",IF(N(E36)&gt;0,N(K35)+1,0))</f>
        <v>5</v>
      </c>
      <c r="L36" s="21" t="n">
        <f aca="false">IF($A36="","",IF(N(F36)&gt;0,N(L35)+1,0))</f>
        <v>1</v>
      </c>
      <c r="M36" s="21" t="str">
        <f aca="false">IF($A36="","",IF(WEEKDAY($A36,2)&lt;&gt;7,"",IF(AND(OR(G36="",N(G36)&gt;=$A36+16/24,N(H36)&lt;=$A36+6/24),OR(I36="",N(I36)&lt;=$A36+6/24)),1,0)))</f>
        <v/>
      </c>
      <c r="N36" s="26" t="str">
        <f aca="false">IF($A36="","",IF(INDEX(Muster!$C$7:$BF$7,1,MOD($A36-Einstellungen!$C$6,Einstellungen!$C$7)+1)="","-",INDEX(Muster!$C$7:$BF$7,1,MOD($A36-Einstellungen!$C$6,Einstellungen!$C$7)+1)))</f>
        <v>S</v>
      </c>
      <c r="O36" s="27" t="n">
        <f aca="false">IF($A36="","",IFERROR(VLOOKUP(N36,Schichten!$A$5:$G$24,6,FALSE()),0))</f>
        <v>8</v>
      </c>
      <c r="P36" s="27" t="n">
        <f aca="false">IF($A36="","",IFERROR(VLOOKUP(N36,Schichten!$A$5:$G$24,7,FALSE()),0))</f>
        <v>0</v>
      </c>
      <c r="Q36" s="28" t="n">
        <f aca="false">IF($A36="","",IF(N(O36)=0,"",$A36+VLOOKUP(N36,Schichten!$A$5:$G$24,3,FALSE())))</f>
        <v>46419.5833333333</v>
      </c>
      <c r="R36" s="28" t="n">
        <f aca="false">IF(Q36="","",$A36+VLOOKUP(N36,Schichten!$A$5:$G$24,4,FALSE())+IF(VLOOKUP(N36,Schichten!$A$5:$G$24,4,FALSE())&lt;=VLOOKUP(N36,Schichten!$A$5:$G$24,3,FALSE()),1,0))</f>
        <v>46419.9166666667</v>
      </c>
      <c r="S36" s="28" t="n">
        <f aca="false">IF($A36="","",IF(N(O35)&gt;0,R35,S35))</f>
        <v>46418.5833333333</v>
      </c>
      <c r="T36" s="27" t="n">
        <f aca="false">IF(OR(Q36="",S36=""),"",(Q36-S36)*24)</f>
        <v>24</v>
      </c>
      <c r="U36" s="21" t="n">
        <f aca="false">IF($A36="","",IF(N(O36)&gt;0,N(U35)+1,0))</f>
        <v>3</v>
      </c>
      <c r="V36" s="21" t="n">
        <f aca="false">IF($A36="","",IF(N(P36)&gt;0,N(V35)+1,0))</f>
        <v>0</v>
      </c>
      <c r="W36" s="21" t="str">
        <f aca="false">IF($A36="","",IF(WEEKDAY($A36,2)&lt;&gt;7,"",IF(AND(OR(Q36="",N(Q36)&gt;=$A36+16/24,N(R36)&lt;=$A36+6/24),OR(S36="",N(S36)&lt;=$A36+6/24)),1,0)))</f>
        <v/>
      </c>
      <c r="X36" s="26" t="str">
        <f aca="false">IF($A36="","",IF(INDEX(Muster!$C$8:$BF$8,1,MOD($A36-Einstellungen!$C$6,Einstellungen!$C$7)+1)="","-",INDEX(Muster!$C$8:$BF$8,1,MOD($A36-Einstellungen!$C$6,Einstellungen!$C$7)+1)))</f>
        <v>F</v>
      </c>
      <c r="Y36" s="27" t="n">
        <f aca="false">IF($A36="","",IFERROR(VLOOKUP(X36,Schichten!$A$5:$G$24,6,FALSE()),0))</f>
        <v>8</v>
      </c>
      <c r="Z36" s="27" t="n">
        <f aca="false">IF($A36="","",IFERROR(VLOOKUP(X36,Schichten!$A$5:$G$24,7,FALSE()),0))</f>
        <v>0</v>
      </c>
      <c r="AA36" s="28" t="n">
        <f aca="false">IF($A36="","",IF(N(Y36)=0,"",$A36+VLOOKUP(X36,Schichten!$A$5:$G$24,3,FALSE())))</f>
        <v>46419.25</v>
      </c>
      <c r="AB36" s="28" t="n">
        <f aca="false">IF(AA36="","",$A36+VLOOKUP(X36,Schichten!$A$5:$G$24,4,FALSE())+IF(VLOOKUP(X36,Schichten!$A$5:$G$24,4,FALSE())&lt;=VLOOKUP(X36,Schichten!$A$5:$G$24,3,FALSE()),1,0))</f>
        <v>46419.5833333333</v>
      </c>
      <c r="AC36" s="28" t="n">
        <f aca="false">IF($A36="","",IF(N(Y35)&gt;0,AB35,AC35))</f>
        <v>46417.25</v>
      </c>
      <c r="AD36" s="27" t="n">
        <f aca="false">IF(OR(AA36="",AC36=""),"",(AA36-AC36)*24)</f>
        <v>48</v>
      </c>
      <c r="AE36" s="21" t="n">
        <f aca="false">IF($A36="","",IF(N(Y36)&gt;0,N(AE35)+1,0))</f>
        <v>1</v>
      </c>
      <c r="AF36" s="21" t="n">
        <f aca="false">IF($A36="","",IF(N(Z36)&gt;0,N(AF35)+1,0))</f>
        <v>0</v>
      </c>
      <c r="AG36" s="21" t="str">
        <f aca="false">IF($A36="","",IF(WEEKDAY($A36,2)&lt;&gt;7,"",IF(AND(OR(AA36="",N(AA36)&gt;=$A36+16/24,N(AB36)&lt;=$A36+6/24),OR(AC36="",N(AC36)&lt;=$A36+6/24)),1,0)))</f>
        <v/>
      </c>
      <c r="AH36" s="26" t="str">
        <f aca="false">IF($A36="","",IF(INDEX(Muster!$C$9:$BF$9,1,MOD($A36-Einstellungen!$C$6,Einstellungen!$C$7)+1)="","-",INDEX(Muster!$C$9:$BF$9,1,MOD($A36-Einstellungen!$C$6,Einstellungen!$C$7)+1)))</f>
        <v>-</v>
      </c>
      <c r="AI36" s="27" t="n">
        <f aca="false">IF($A36="","",IFERROR(VLOOKUP(AH36,Schichten!$A$5:$G$24,6,FALSE()),0))</f>
        <v>0</v>
      </c>
      <c r="AJ36" s="27" t="n">
        <f aca="false">IF($A36="","",IFERROR(VLOOKUP(AH36,Schichten!$A$5:$G$24,7,FALSE()),0))</f>
        <v>0</v>
      </c>
      <c r="AK36" s="28" t="str">
        <f aca="false">IF($A36="","",IF(N(AI36)=0,"",$A36+VLOOKUP(AH36,Schichten!$A$5:$G$24,3,FALSE())))</f>
        <v/>
      </c>
      <c r="AL36" s="28" t="str">
        <f aca="false">IF(AK36="","",$A36+VLOOKUP(AH36,Schichten!$A$5:$G$24,4,FALSE())+IF(VLOOKUP(AH36,Schichten!$A$5:$G$24,4,FALSE())&lt;=VLOOKUP(AH36,Schichten!$A$5:$G$24,3,FALSE()),1,0))</f>
        <v/>
      </c>
      <c r="AM36" s="28" t="n">
        <f aca="false">IF($A36="","",IF(N(AI35)&gt;0,AL35,AM35))</f>
        <v>46419.25</v>
      </c>
      <c r="AN36" s="27" t="str">
        <f aca="false">IF(OR(AK36="",AM36=""),"",(AK36-AM36)*24)</f>
        <v/>
      </c>
      <c r="AO36" s="21" t="n">
        <f aca="false">IF($A36="","",IF(N(AI36)&gt;0,N(AO35)+1,0))</f>
        <v>0</v>
      </c>
      <c r="AP36" s="21" t="n">
        <f aca="false">IF($A36="","",IF(N(AJ36)&gt;0,N(AP35)+1,0))</f>
        <v>0</v>
      </c>
      <c r="AQ36" s="21" t="str">
        <f aca="false">IF($A36="","",IF(WEEKDAY($A36,2)&lt;&gt;7,"",IF(AND(OR(AK36="",N(AK36)&gt;=$A36+16/24,N(AL36)&lt;=$A36+6/24),OR(AM36="",N(AM36)&lt;=$A36+6/24)),1,0)))</f>
        <v/>
      </c>
      <c r="AR36" s="26" t="str">
        <f aca="false">IF($A36="","",IF(INDEX(Muster!$C$10:$BF$10,1,MOD($A36-Einstellungen!$C$6,Einstellungen!$C$7)+1)="","-",INDEX(Muster!$C$10:$BF$10,1,MOD($A36-Einstellungen!$C$6,Einstellungen!$C$7)+1)))</f>
        <v>-</v>
      </c>
      <c r="AS36" s="27" t="n">
        <f aca="false">IF($A36="","",IFERROR(VLOOKUP(AR36,Schichten!$A$5:$G$24,6,FALSE()),0))</f>
        <v>0</v>
      </c>
      <c r="AT36" s="27" t="n">
        <f aca="false">IF($A36="","",IFERROR(VLOOKUP(AR36,Schichten!$A$5:$G$24,7,FALSE()),0))</f>
        <v>0</v>
      </c>
      <c r="AU36" s="28" t="str">
        <f aca="false">IF($A36="","",IF(N(AS36)=0,"",$A36+VLOOKUP(AR36,Schichten!$A$5:$G$24,3,FALSE())))</f>
        <v/>
      </c>
      <c r="AV36" s="28" t="str">
        <f aca="false">IF(AU36="","",$A36+VLOOKUP(AR36,Schichten!$A$5:$G$24,4,FALSE())+IF(VLOOKUP(AR36,Schichten!$A$5:$G$24,4,FALSE())&lt;=VLOOKUP(AR36,Schichten!$A$5:$G$24,3,FALSE()),1,0))</f>
        <v/>
      </c>
      <c r="AW36" s="28" t="str">
        <f aca="false">IF($A36="","",IF(N(AS35)&gt;0,AV35,AW35))</f>
        <v/>
      </c>
      <c r="AX36" s="27" t="str">
        <f aca="false">IF(OR(AU36="",AW36=""),"",(AU36-AW36)*24)</f>
        <v/>
      </c>
      <c r="AY36" s="21" t="n">
        <f aca="false">IF($A36="","",IF(N(AS36)&gt;0,N(AY35)+1,0))</f>
        <v>0</v>
      </c>
      <c r="AZ36" s="21" t="n">
        <f aca="false">IF($A36="","",IF(N(AT36)&gt;0,N(AZ35)+1,0))</f>
        <v>0</v>
      </c>
      <c r="BA36" s="21" t="str">
        <f aca="false">IF($A36="","",IF(WEEKDAY($A36,2)&lt;&gt;7,"",IF(AND(OR(AU36="",N(AU36)&gt;=$A36+16/24,N(AV36)&lt;=$A36+6/24),OR(AW36="",N(AW36)&lt;=$A36+6/24)),1,0)))</f>
        <v/>
      </c>
    </row>
    <row r="37" customFormat="false" ht="15" hidden="false" customHeight="false" outlineLevel="0" collapsed="false">
      <c r="A37" s="25" t="n">
        <f aca="false">IF(YEAR(DATE(Einstellungen!$C$4,1,1)+32)=Einstellungen!$C$4,DATE(Einstellungen!$C$4,1,1)+32,"")</f>
        <v>46420</v>
      </c>
      <c r="B37" s="26" t="str">
        <f aca="false">IF($A37="","",CHOOSE(WEEKDAY($A37,2),"Mo","Di","Mi","Do","Fr","Sa","So"))</f>
        <v>Di</v>
      </c>
      <c r="C37" s="26" t="n">
        <f aca="false">IF($A37="","",MONTH($A37))</f>
        <v>2</v>
      </c>
      <c r="D37" s="26" t="str">
        <f aca="false">IF($A37="","",IF(INDEX(Muster!$C$6:$BF$6,1,MOD($A37-Einstellungen!$C$6,Einstellungen!$C$7)+1)="","-",INDEX(Muster!$C$6:$BF$6,1,MOD($A37-Einstellungen!$C$6,Einstellungen!$C$7)+1)))</f>
        <v>N</v>
      </c>
      <c r="E37" s="27" t="n">
        <f aca="false">IF($A37="","",IFERROR(VLOOKUP(D37,Schichten!$A$5:$G$24,6,FALSE()),0))</f>
        <v>8</v>
      </c>
      <c r="F37" s="27" t="n">
        <f aca="false">IF($A37="","",IFERROR(VLOOKUP(D37,Schichten!$A$5:$G$24,7,FALSE()),0))</f>
        <v>7</v>
      </c>
      <c r="G37" s="28" t="n">
        <f aca="false">IF($A37="","",IF(N(E37)=0,"",$A37+VLOOKUP(D37,Schichten!$A$5:$G$24,3,FALSE())))</f>
        <v>46420.9166666667</v>
      </c>
      <c r="H37" s="28" t="n">
        <f aca="false">IF(G37="","",$A37+VLOOKUP(D37,Schichten!$A$5:$G$24,4,FALSE())+IF(VLOOKUP(D37,Schichten!$A$5:$G$24,4,FALSE())&lt;=VLOOKUP(D37,Schichten!$A$5:$G$24,3,FALSE()),1,0))</f>
        <v>46421.25</v>
      </c>
      <c r="I37" s="28" t="n">
        <f aca="false">IF($A37="","",IF(N(E36)&gt;0,H36,I36))</f>
        <v>46420.25</v>
      </c>
      <c r="J37" s="27" t="n">
        <f aca="false">IF(OR(G37="",I37=""),"",(G37-I37)*24)</f>
        <v>16</v>
      </c>
      <c r="K37" s="21" t="n">
        <f aca="false">IF($A37="","",IF(N(E37)&gt;0,N(K36)+1,0))</f>
        <v>6</v>
      </c>
      <c r="L37" s="21" t="n">
        <f aca="false">IF($A37="","",IF(N(F37)&gt;0,N(L36)+1,0))</f>
        <v>2</v>
      </c>
      <c r="M37" s="21" t="str">
        <f aca="false">IF($A37="","",IF(WEEKDAY($A37,2)&lt;&gt;7,"",IF(AND(OR(G37="",N(G37)&gt;=$A37+16/24,N(H37)&lt;=$A37+6/24),OR(I37="",N(I37)&lt;=$A37+6/24)),1,0)))</f>
        <v/>
      </c>
      <c r="N37" s="26" t="str">
        <f aca="false">IF($A37="","",IF(INDEX(Muster!$C$7:$BF$7,1,MOD($A37-Einstellungen!$C$6,Einstellungen!$C$7)+1)="","-",INDEX(Muster!$C$7:$BF$7,1,MOD($A37-Einstellungen!$C$6,Einstellungen!$C$7)+1)))</f>
        <v>S</v>
      </c>
      <c r="O37" s="27" t="n">
        <f aca="false">IF($A37="","",IFERROR(VLOOKUP(N37,Schichten!$A$5:$G$24,6,FALSE()),0))</f>
        <v>8</v>
      </c>
      <c r="P37" s="27" t="n">
        <f aca="false">IF($A37="","",IFERROR(VLOOKUP(N37,Schichten!$A$5:$G$24,7,FALSE()),0))</f>
        <v>0</v>
      </c>
      <c r="Q37" s="28" t="n">
        <f aca="false">IF($A37="","",IF(N(O37)=0,"",$A37+VLOOKUP(N37,Schichten!$A$5:$G$24,3,FALSE())))</f>
        <v>46420.5833333333</v>
      </c>
      <c r="R37" s="28" t="n">
        <f aca="false">IF(Q37="","",$A37+VLOOKUP(N37,Schichten!$A$5:$G$24,4,FALSE())+IF(VLOOKUP(N37,Schichten!$A$5:$G$24,4,FALSE())&lt;=VLOOKUP(N37,Schichten!$A$5:$G$24,3,FALSE()),1,0))</f>
        <v>46420.9166666667</v>
      </c>
      <c r="S37" s="28" t="n">
        <f aca="false">IF($A37="","",IF(N(O36)&gt;0,R36,S36))</f>
        <v>46419.9166666667</v>
      </c>
      <c r="T37" s="27" t="n">
        <f aca="false">IF(OR(Q37="",S37=""),"",(Q37-S37)*24)</f>
        <v>16</v>
      </c>
      <c r="U37" s="21" t="n">
        <f aca="false">IF($A37="","",IF(N(O37)&gt;0,N(U36)+1,0))</f>
        <v>4</v>
      </c>
      <c r="V37" s="21" t="n">
        <f aca="false">IF($A37="","",IF(N(P37)&gt;0,N(V36)+1,0))</f>
        <v>0</v>
      </c>
      <c r="W37" s="21" t="str">
        <f aca="false">IF($A37="","",IF(WEEKDAY($A37,2)&lt;&gt;7,"",IF(AND(OR(Q37="",N(Q37)&gt;=$A37+16/24,N(R37)&lt;=$A37+6/24),OR(S37="",N(S37)&lt;=$A37+6/24)),1,0)))</f>
        <v/>
      </c>
      <c r="X37" s="26" t="str">
        <f aca="false">IF($A37="","",IF(INDEX(Muster!$C$8:$BF$8,1,MOD($A37-Einstellungen!$C$6,Einstellungen!$C$7)+1)="","-",INDEX(Muster!$C$8:$BF$8,1,MOD($A37-Einstellungen!$C$6,Einstellungen!$C$7)+1)))</f>
        <v>F</v>
      </c>
      <c r="Y37" s="27" t="n">
        <f aca="false">IF($A37="","",IFERROR(VLOOKUP(X37,Schichten!$A$5:$G$24,6,FALSE()),0))</f>
        <v>8</v>
      </c>
      <c r="Z37" s="27" t="n">
        <f aca="false">IF($A37="","",IFERROR(VLOOKUP(X37,Schichten!$A$5:$G$24,7,FALSE()),0))</f>
        <v>0</v>
      </c>
      <c r="AA37" s="28" t="n">
        <f aca="false">IF($A37="","",IF(N(Y37)=0,"",$A37+VLOOKUP(X37,Schichten!$A$5:$G$24,3,FALSE())))</f>
        <v>46420.25</v>
      </c>
      <c r="AB37" s="28" t="n">
        <f aca="false">IF(AA37="","",$A37+VLOOKUP(X37,Schichten!$A$5:$G$24,4,FALSE())+IF(VLOOKUP(X37,Schichten!$A$5:$G$24,4,FALSE())&lt;=VLOOKUP(X37,Schichten!$A$5:$G$24,3,FALSE()),1,0))</f>
        <v>46420.5833333333</v>
      </c>
      <c r="AC37" s="28" t="n">
        <f aca="false">IF($A37="","",IF(N(Y36)&gt;0,AB36,AC36))</f>
        <v>46419.5833333333</v>
      </c>
      <c r="AD37" s="27" t="n">
        <f aca="false">IF(OR(AA37="",AC37=""),"",(AA37-AC37)*24)</f>
        <v>16</v>
      </c>
      <c r="AE37" s="21" t="n">
        <f aca="false">IF($A37="","",IF(N(Y37)&gt;0,N(AE36)+1,0))</f>
        <v>2</v>
      </c>
      <c r="AF37" s="21" t="n">
        <f aca="false">IF($A37="","",IF(N(Z37)&gt;0,N(AF36)+1,0))</f>
        <v>0</v>
      </c>
      <c r="AG37" s="21" t="str">
        <f aca="false">IF($A37="","",IF(WEEKDAY($A37,2)&lt;&gt;7,"",IF(AND(OR(AA37="",N(AA37)&gt;=$A37+16/24,N(AB37)&lt;=$A37+6/24),OR(AC37="",N(AC37)&lt;=$A37+6/24)),1,0)))</f>
        <v/>
      </c>
      <c r="AH37" s="26" t="str">
        <f aca="false">IF($A37="","",IF(INDEX(Muster!$C$9:$BF$9,1,MOD($A37-Einstellungen!$C$6,Einstellungen!$C$7)+1)="","-",INDEX(Muster!$C$9:$BF$9,1,MOD($A37-Einstellungen!$C$6,Einstellungen!$C$7)+1)))</f>
        <v>-</v>
      </c>
      <c r="AI37" s="27" t="n">
        <f aca="false">IF($A37="","",IFERROR(VLOOKUP(AH37,Schichten!$A$5:$G$24,6,FALSE()),0))</f>
        <v>0</v>
      </c>
      <c r="AJ37" s="27" t="n">
        <f aca="false">IF($A37="","",IFERROR(VLOOKUP(AH37,Schichten!$A$5:$G$24,7,FALSE()),0))</f>
        <v>0</v>
      </c>
      <c r="AK37" s="28" t="str">
        <f aca="false">IF($A37="","",IF(N(AI37)=0,"",$A37+VLOOKUP(AH37,Schichten!$A$5:$G$24,3,FALSE())))</f>
        <v/>
      </c>
      <c r="AL37" s="28" t="str">
        <f aca="false">IF(AK37="","",$A37+VLOOKUP(AH37,Schichten!$A$5:$G$24,4,FALSE())+IF(VLOOKUP(AH37,Schichten!$A$5:$G$24,4,FALSE())&lt;=VLOOKUP(AH37,Schichten!$A$5:$G$24,3,FALSE()),1,0))</f>
        <v/>
      </c>
      <c r="AM37" s="28" t="n">
        <f aca="false">IF($A37="","",IF(N(AI36)&gt;0,AL36,AM36))</f>
        <v>46419.25</v>
      </c>
      <c r="AN37" s="27" t="str">
        <f aca="false">IF(OR(AK37="",AM37=""),"",(AK37-AM37)*24)</f>
        <v/>
      </c>
      <c r="AO37" s="21" t="n">
        <f aca="false">IF($A37="","",IF(N(AI37)&gt;0,N(AO36)+1,0))</f>
        <v>0</v>
      </c>
      <c r="AP37" s="21" t="n">
        <f aca="false">IF($A37="","",IF(N(AJ37)&gt;0,N(AP36)+1,0))</f>
        <v>0</v>
      </c>
      <c r="AQ37" s="21" t="str">
        <f aca="false">IF($A37="","",IF(WEEKDAY($A37,2)&lt;&gt;7,"",IF(AND(OR(AK37="",N(AK37)&gt;=$A37+16/24,N(AL37)&lt;=$A37+6/24),OR(AM37="",N(AM37)&lt;=$A37+6/24)),1,0)))</f>
        <v/>
      </c>
      <c r="AR37" s="26" t="str">
        <f aca="false">IF($A37="","",IF(INDEX(Muster!$C$10:$BF$10,1,MOD($A37-Einstellungen!$C$6,Einstellungen!$C$7)+1)="","-",INDEX(Muster!$C$10:$BF$10,1,MOD($A37-Einstellungen!$C$6,Einstellungen!$C$7)+1)))</f>
        <v>-</v>
      </c>
      <c r="AS37" s="27" t="n">
        <f aca="false">IF($A37="","",IFERROR(VLOOKUP(AR37,Schichten!$A$5:$G$24,6,FALSE()),0))</f>
        <v>0</v>
      </c>
      <c r="AT37" s="27" t="n">
        <f aca="false">IF($A37="","",IFERROR(VLOOKUP(AR37,Schichten!$A$5:$G$24,7,FALSE()),0))</f>
        <v>0</v>
      </c>
      <c r="AU37" s="28" t="str">
        <f aca="false">IF($A37="","",IF(N(AS37)=0,"",$A37+VLOOKUP(AR37,Schichten!$A$5:$G$24,3,FALSE())))</f>
        <v/>
      </c>
      <c r="AV37" s="28" t="str">
        <f aca="false">IF(AU37="","",$A37+VLOOKUP(AR37,Schichten!$A$5:$G$24,4,FALSE())+IF(VLOOKUP(AR37,Schichten!$A$5:$G$24,4,FALSE())&lt;=VLOOKUP(AR37,Schichten!$A$5:$G$24,3,FALSE()),1,0))</f>
        <v/>
      </c>
      <c r="AW37" s="28" t="str">
        <f aca="false">IF($A37="","",IF(N(AS36)&gt;0,AV36,AW36))</f>
        <v/>
      </c>
      <c r="AX37" s="27" t="str">
        <f aca="false">IF(OR(AU37="",AW37=""),"",(AU37-AW37)*24)</f>
        <v/>
      </c>
      <c r="AY37" s="21" t="n">
        <f aca="false">IF($A37="","",IF(N(AS37)&gt;0,N(AY36)+1,0))</f>
        <v>0</v>
      </c>
      <c r="AZ37" s="21" t="n">
        <f aca="false">IF($A37="","",IF(N(AT37)&gt;0,N(AZ36)+1,0))</f>
        <v>0</v>
      </c>
      <c r="BA37" s="21" t="str">
        <f aca="false">IF($A37="","",IF(WEEKDAY($A37,2)&lt;&gt;7,"",IF(AND(OR(AU37="",N(AU37)&gt;=$A37+16/24,N(AV37)&lt;=$A37+6/24),OR(AW37="",N(AW37)&lt;=$A37+6/24)),1,0)))</f>
        <v/>
      </c>
    </row>
    <row r="38" customFormat="false" ht="15" hidden="false" customHeight="false" outlineLevel="0" collapsed="false">
      <c r="A38" s="25" t="n">
        <f aca="false">IF(YEAR(DATE(Einstellungen!$C$4,1,1)+33)=Einstellungen!$C$4,DATE(Einstellungen!$C$4,1,1)+33,"")</f>
        <v>46421</v>
      </c>
      <c r="B38" s="26" t="str">
        <f aca="false">IF($A38="","",CHOOSE(WEEKDAY($A38,2),"Mo","Di","Mi","Do","Fr","Sa","So"))</f>
        <v>Mi</v>
      </c>
      <c r="C38" s="26" t="n">
        <f aca="false">IF($A38="","",MONTH($A38))</f>
        <v>2</v>
      </c>
      <c r="D38" s="26" t="str">
        <f aca="false">IF($A38="","",IF(INDEX(Muster!$C$6:$BF$6,1,MOD($A38-Einstellungen!$C$6,Einstellungen!$C$7)+1)="","-",INDEX(Muster!$C$6:$BF$6,1,MOD($A38-Einstellungen!$C$6,Einstellungen!$C$7)+1)))</f>
        <v>-</v>
      </c>
      <c r="E38" s="27" t="n">
        <f aca="false">IF($A38="","",IFERROR(VLOOKUP(D38,Schichten!$A$5:$G$24,6,FALSE()),0))</f>
        <v>0</v>
      </c>
      <c r="F38" s="27" t="n">
        <f aca="false">IF($A38="","",IFERROR(VLOOKUP(D38,Schichten!$A$5:$G$24,7,FALSE()),0))</f>
        <v>0</v>
      </c>
      <c r="G38" s="28" t="str">
        <f aca="false">IF($A38="","",IF(N(E38)=0,"",$A38+VLOOKUP(D38,Schichten!$A$5:$G$24,3,FALSE())))</f>
        <v/>
      </c>
      <c r="H38" s="28" t="str">
        <f aca="false">IF(G38="","",$A38+VLOOKUP(D38,Schichten!$A$5:$G$24,4,FALSE())+IF(VLOOKUP(D38,Schichten!$A$5:$G$24,4,FALSE())&lt;=VLOOKUP(D38,Schichten!$A$5:$G$24,3,FALSE()),1,0))</f>
        <v/>
      </c>
      <c r="I38" s="28" t="n">
        <f aca="false">IF($A38="","",IF(N(E37)&gt;0,H37,I37))</f>
        <v>46421.25</v>
      </c>
      <c r="J38" s="27" t="str">
        <f aca="false">IF(OR(G38="",I38=""),"",(G38-I38)*24)</f>
        <v/>
      </c>
      <c r="K38" s="21" t="n">
        <f aca="false">IF($A38="","",IF(N(E38)&gt;0,N(K37)+1,0))</f>
        <v>0</v>
      </c>
      <c r="L38" s="21" t="n">
        <f aca="false">IF($A38="","",IF(N(F38)&gt;0,N(L37)+1,0))</f>
        <v>0</v>
      </c>
      <c r="M38" s="21" t="str">
        <f aca="false">IF($A38="","",IF(WEEKDAY($A38,2)&lt;&gt;7,"",IF(AND(OR(G38="",N(G38)&gt;=$A38+16/24,N(H38)&lt;=$A38+6/24),OR(I38="",N(I38)&lt;=$A38+6/24)),1,0)))</f>
        <v/>
      </c>
      <c r="N38" s="26" t="str">
        <f aca="false">IF($A38="","",IF(INDEX(Muster!$C$7:$BF$7,1,MOD($A38-Einstellungen!$C$6,Einstellungen!$C$7)+1)="","-",INDEX(Muster!$C$7:$BF$7,1,MOD($A38-Einstellungen!$C$6,Einstellungen!$C$7)+1)))</f>
        <v>N</v>
      </c>
      <c r="O38" s="27" t="n">
        <f aca="false">IF($A38="","",IFERROR(VLOOKUP(N38,Schichten!$A$5:$G$24,6,FALSE()),0))</f>
        <v>8</v>
      </c>
      <c r="P38" s="27" t="n">
        <f aca="false">IF($A38="","",IFERROR(VLOOKUP(N38,Schichten!$A$5:$G$24,7,FALSE()),0))</f>
        <v>7</v>
      </c>
      <c r="Q38" s="28" t="n">
        <f aca="false">IF($A38="","",IF(N(O38)=0,"",$A38+VLOOKUP(N38,Schichten!$A$5:$G$24,3,FALSE())))</f>
        <v>46421.9166666667</v>
      </c>
      <c r="R38" s="28" t="n">
        <f aca="false">IF(Q38="","",$A38+VLOOKUP(N38,Schichten!$A$5:$G$24,4,FALSE())+IF(VLOOKUP(N38,Schichten!$A$5:$G$24,4,FALSE())&lt;=VLOOKUP(N38,Schichten!$A$5:$G$24,3,FALSE()),1,0))</f>
        <v>46422.25</v>
      </c>
      <c r="S38" s="28" t="n">
        <f aca="false">IF($A38="","",IF(N(O37)&gt;0,R37,S37))</f>
        <v>46420.9166666667</v>
      </c>
      <c r="T38" s="27" t="n">
        <f aca="false">IF(OR(Q38="",S38=""),"",(Q38-S38)*24)</f>
        <v>24</v>
      </c>
      <c r="U38" s="21" t="n">
        <f aca="false">IF($A38="","",IF(N(O38)&gt;0,N(U37)+1,0))</f>
        <v>5</v>
      </c>
      <c r="V38" s="21" t="n">
        <f aca="false">IF($A38="","",IF(N(P38)&gt;0,N(V37)+1,0))</f>
        <v>1</v>
      </c>
      <c r="W38" s="21" t="str">
        <f aca="false">IF($A38="","",IF(WEEKDAY($A38,2)&lt;&gt;7,"",IF(AND(OR(Q38="",N(Q38)&gt;=$A38+16/24,N(R38)&lt;=$A38+6/24),OR(S38="",N(S38)&lt;=$A38+6/24)),1,0)))</f>
        <v/>
      </c>
      <c r="X38" s="26" t="str">
        <f aca="false">IF($A38="","",IF(INDEX(Muster!$C$8:$BF$8,1,MOD($A38-Einstellungen!$C$6,Einstellungen!$C$7)+1)="","-",INDEX(Muster!$C$8:$BF$8,1,MOD($A38-Einstellungen!$C$6,Einstellungen!$C$7)+1)))</f>
        <v>S</v>
      </c>
      <c r="Y38" s="27" t="n">
        <f aca="false">IF($A38="","",IFERROR(VLOOKUP(X38,Schichten!$A$5:$G$24,6,FALSE()),0))</f>
        <v>8</v>
      </c>
      <c r="Z38" s="27" t="n">
        <f aca="false">IF($A38="","",IFERROR(VLOOKUP(X38,Schichten!$A$5:$G$24,7,FALSE()),0))</f>
        <v>0</v>
      </c>
      <c r="AA38" s="28" t="n">
        <f aca="false">IF($A38="","",IF(N(Y38)=0,"",$A38+VLOOKUP(X38,Schichten!$A$5:$G$24,3,FALSE())))</f>
        <v>46421.5833333333</v>
      </c>
      <c r="AB38" s="28" t="n">
        <f aca="false">IF(AA38="","",$A38+VLOOKUP(X38,Schichten!$A$5:$G$24,4,FALSE())+IF(VLOOKUP(X38,Schichten!$A$5:$G$24,4,FALSE())&lt;=VLOOKUP(X38,Schichten!$A$5:$G$24,3,FALSE()),1,0))</f>
        <v>46421.9166666667</v>
      </c>
      <c r="AC38" s="28" t="n">
        <f aca="false">IF($A38="","",IF(N(Y37)&gt;0,AB37,AC37))</f>
        <v>46420.5833333333</v>
      </c>
      <c r="AD38" s="27" t="n">
        <f aca="false">IF(OR(AA38="",AC38=""),"",(AA38-AC38)*24)</f>
        <v>24</v>
      </c>
      <c r="AE38" s="21" t="n">
        <f aca="false">IF($A38="","",IF(N(Y38)&gt;0,N(AE37)+1,0))</f>
        <v>3</v>
      </c>
      <c r="AF38" s="21" t="n">
        <f aca="false">IF($A38="","",IF(N(Z38)&gt;0,N(AF37)+1,0))</f>
        <v>0</v>
      </c>
      <c r="AG38" s="21" t="str">
        <f aca="false">IF($A38="","",IF(WEEKDAY($A38,2)&lt;&gt;7,"",IF(AND(OR(AA38="",N(AA38)&gt;=$A38+16/24,N(AB38)&lt;=$A38+6/24),OR(AC38="",N(AC38)&lt;=$A38+6/24)),1,0)))</f>
        <v/>
      </c>
      <c r="AH38" s="26" t="str">
        <f aca="false">IF($A38="","",IF(INDEX(Muster!$C$9:$BF$9,1,MOD($A38-Einstellungen!$C$6,Einstellungen!$C$7)+1)="","-",INDEX(Muster!$C$9:$BF$9,1,MOD($A38-Einstellungen!$C$6,Einstellungen!$C$7)+1)))</f>
        <v>F</v>
      </c>
      <c r="AI38" s="27" t="n">
        <f aca="false">IF($A38="","",IFERROR(VLOOKUP(AH38,Schichten!$A$5:$G$24,6,FALSE()),0))</f>
        <v>8</v>
      </c>
      <c r="AJ38" s="27" t="n">
        <f aca="false">IF($A38="","",IFERROR(VLOOKUP(AH38,Schichten!$A$5:$G$24,7,FALSE()),0))</f>
        <v>0</v>
      </c>
      <c r="AK38" s="28" t="n">
        <f aca="false">IF($A38="","",IF(N(AI38)=0,"",$A38+VLOOKUP(AH38,Schichten!$A$5:$G$24,3,FALSE())))</f>
        <v>46421.25</v>
      </c>
      <c r="AL38" s="28" t="n">
        <f aca="false">IF(AK38="","",$A38+VLOOKUP(AH38,Schichten!$A$5:$G$24,4,FALSE())+IF(VLOOKUP(AH38,Schichten!$A$5:$G$24,4,FALSE())&lt;=VLOOKUP(AH38,Schichten!$A$5:$G$24,3,FALSE()),1,0))</f>
        <v>46421.5833333333</v>
      </c>
      <c r="AM38" s="28" t="n">
        <f aca="false">IF($A38="","",IF(N(AI37)&gt;0,AL37,AM37))</f>
        <v>46419.25</v>
      </c>
      <c r="AN38" s="27" t="n">
        <f aca="false">IF(OR(AK38="",AM38=""),"",(AK38-AM38)*24)</f>
        <v>48</v>
      </c>
      <c r="AO38" s="21" t="n">
        <f aca="false">IF($A38="","",IF(N(AI38)&gt;0,N(AO37)+1,0))</f>
        <v>1</v>
      </c>
      <c r="AP38" s="21" t="n">
        <f aca="false">IF($A38="","",IF(N(AJ38)&gt;0,N(AP37)+1,0))</f>
        <v>0</v>
      </c>
      <c r="AQ38" s="21" t="str">
        <f aca="false">IF($A38="","",IF(WEEKDAY($A38,2)&lt;&gt;7,"",IF(AND(OR(AK38="",N(AK38)&gt;=$A38+16/24,N(AL38)&lt;=$A38+6/24),OR(AM38="",N(AM38)&lt;=$A38+6/24)),1,0)))</f>
        <v/>
      </c>
      <c r="AR38" s="26" t="str">
        <f aca="false">IF($A38="","",IF(INDEX(Muster!$C$10:$BF$10,1,MOD($A38-Einstellungen!$C$6,Einstellungen!$C$7)+1)="","-",INDEX(Muster!$C$10:$BF$10,1,MOD($A38-Einstellungen!$C$6,Einstellungen!$C$7)+1)))</f>
        <v>-</v>
      </c>
      <c r="AS38" s="27" t="n">
        <f aca="false">IF($A38="","",IFERROR(VLOOKUP(AR38,Schichten!$A$5:$G$24,6,FALSE()),0))</f>
        <v>0</v>
      </c>
      <c r="AT38" s="27" t="n">
        <f aca="false">IF($A38="","",IFERROR(VLOOKUP(AR38,Schichten!$A$5:$G$24,7,FALSE()),0))</f>
        <v>0</v>
      </c>
      <c r="AU38" s="28" t="str">
        <f aca="false">IF($A38="","",IF(N(AS38)=0,"",$A38+VLOOKUP(AR38,Schichten!$A$5:$G$24,3,FALSE())))</f>
        <v/>
      </c>
      <c r="AV38" s="28" t="str">
        <f aca="false">IF(AU38="","",$A38+VLOOKUP(AR38,Schichten!$A$5:$G$24,4,FALSE())+IF(VLOOKUP(AR38,Schichten!$A$5:$G$24,4,FALSE())&lt;=VLOOKUP(AR38,Schichten!$A$5:$G$24,3,FALSE()),1,0))</f>
        <v/>
      </c>
      <c r="AW38" s="28" t="str">
        <f aca="false">IF($A38="","",IF(N(AS37)&gt;0,AV37,AW37))</f>
        <v/>
      </c>
      <c r="AX38" s="27" t="str">
        <f aca="false">IF(OR(AU38="",AW38=""),"",(AU38-AW38)*24)</f>
        <v/>
      </c>
      <c r="AY38" s="21" t="n">
        <f aca="false">IF($A38="","",IF(N(AS38)&gt;0,N(AY37)+1,0))</f>
        <v>0</v>
      </c>
      <c r="AZ38" s="21" t="n">
        <f aca="false">IF($A38="","",IF(N(AT38)&gt;0,N(AZ37)+1,0))</f>
        <v>0</v>
      </c>
      <c r="BA38" s="21" t="str">
        <f aca="false">IF($A38="","",IF(WEEKDAY($A38,2)&lt;&gt;7,"",IF(AND(OR(AU38="",N(AU38)&gt;=$A38+16/24,N(AV38)&lt;=$A38+6/24),OR(AW38="",N(AW38)&lt;=$A38+6/24)),1,0)))</f>
        <v/>
      </c>
    </row>
    <row r="39" customFormat="false" ht="15" hidden="false" customHeight="false" outlineLevel="0" collapsed="false">
      <c r="A39" s="25" t="n">
        <f aca="false">IF(YEAR(DATE(Einstellungen!$C$4,1,1)+34)=Einstellungen!$C$4,DATE(Einstellungen!$C$4,1,1)+34,"")</f>
        <v>46422</v>
      </c>
      <c r="B39" s="26" t="str">
        <f aca="false">IF($A39="","",CHOOSE(WEEKDAY($A39,2),"Mo","Di","Mi","Do","Fr","Sa","So"))</f>
        <v>Do</v>
      </c>
      <c r="C39" s="26" t="n">
        <f aca="false">IF($A39="","",MONTH($A39))</f>
        <v>2</v>
      </c>
      <c r="D39" s="26" t="str">
        <f aca="false">IF($A39="","",IF(INDEX(Muster!$C$6:$BF$6,1,MOD($A39-Einstellungen!$C$6,Einstellungen!$C$7)+1)="","-",INDEX(Muster!$C$6:$BF$6,1,MOD($A39-Einstellungen!$C$6,Einstellungen!$C$7)+1)))</f>
        <v>-</v>
      </c>
      <c r="E39" s="27" t="n">
        <f aca="false">IF($A39="","",IFERROR(VLOOKUP(D39,Schichten!$A$5:$G$24,6,FALSE()),0))</f>
        <v>0</v>
      </c>
      <c r="F39" s="27" t="n">
        <f aca="false">IF($A39="","",IFERROR(VLOOKUP(D39,Schichten!$A$5:$G$24,7,FALSE()),0))</f>
        <v>0</v>
      </c>
      <c r="G39" s="28" t="str">
        <f aca="false">IF($A39="","",IF(N(E39)=0,"",$A39+VLOOKUP(D39,Schichten!$A$5:$G$24,3,FALSE())))</f>
        <v/>
      </c>
      <c r="H39" s="28" t="str">
        <f aca="false">IF(G39="","",$A39+VLOOKUP(D39,Schichten!$A$5:$G$24,4,FALSE())+IF(VLOOKUP(D39,Schichten!$A$5:$G$24,4,FALSE())&lt;=VLOOKUP(D39,Schichten!$A$5:$G$24,3,FALSE()),1,0))</f>
        <v/>
      </c>
      <c r="I39" s="28" t="n">
        <f aca="false">IF($A39="","",IF(N(E38)&gt;0,H38,I38))</f>
        <v>46421.25</v>
      </c>
      <c r="J39" s="27" t="str">
        <f aca="false">IF(OR(G39="",I39=""),"",(G39-I39)*24)</f>
        <v/>
      </c>
      <c r="K39" s="21" t="n">
        <f aca="false">IF($A39="","",IF(N(E39)&gt;0,N(K38)+1,0))</f>
        <v>0</v>
      </c>
      <c r="L39" s="21" t="n">
        <f aca="false">IF($A39="","",IF(N(F39)&gt;0,N(L38)+1,0))</f>
        <v>0</v>
      </c>
      <c r="M39" s="21" t="str">
        <f aca="false">IF($A39="","",IF(WEEKDAY($A39,2)&lt;&gt;7,"",IF(AND(OR(G39="",N(G39)&gt;=$A39+16/24,N(H39)&lt;=$A39+6/24),OR(I39="",N(I39)&lt;=$A39+6/24)),1,0)))</f>
        <v/>
      </c>
      <c r="N39" s="26" t="str">
        <f aca="false">IF($A39="","",IF(INDEX(Muster!$C$7:$BF$7,1,MOD($A39-Einstellungen!$C$6,Einstellungen!$C$7)+1)="","-",INDEX(Muster!$C$7:$BF$7,1,MOD($A39-Einstellungen!$C$6,Einstellungen!$C$7)+1)))</f>
        <v>N</v>
      </c>
      <c r="O39" s="27" t="n">
        <f aca="false">IF($A39="","",IFERROR(VLOOKUP(N39,Schichten!$A$5:$G$24,6,FALSE()),0))</f>
        <v>8</v>
      </c>
      <c r="P39" s="27" t="n">
        <f aca="false">IF($A39="","",IFERROR(VLOOKUP(N39,Schichten!$A$5:$G$24,7,FALSE()),0))</f>
        <v>7</v>
      </c>
      <c r="Q39" s="28" t="n">
        <f aca="false">IF($A39="","",IF(N(O39)=0,"",$A39+VLOOKUP(N39,Schichten!$A$5:$G$24,3,FALSE())))</f>
        <v>46422.9166666667</v>
      </c>
      <c r="R39" s="28" t="n">
        <f aca="false">IF(Q39="","",$A39+VLOOKUP(N39,Schichten!$A$5:$G$24,4,FALSE())+IF(VLOOKUP(N39,Schichten!$A$5:$G$24,4,FALSE())&lt;=VLOOKUP(N39,Schichten!$A$5:$G$24,3,FALSE()),1,0))</f>
        <v>46423.25</v>
      </c>
      <c r="S39" s="28" t="n">
        <f aca="false">IF($A39="","",IF(N(O38)&gt;0,R38,S38))</f>
        <v>46422.25</v>
      </c>
      <c r="T39" s="27" t="n">
        <f aca="false">IF(OR(Q39="",S39=""),"",(Q39-S39)*24)</f>
        <v>16</v>
      </c>
      <c r="U39" s="21" t="n">
        <f aca="false">IF($A39="","",IF(N(O39)&gt;0,N(U38)+1,0))</f>
        <v>6</v>
      </c>
      <c r="V39" s="21" t="n">
        <f aca="false">IF($A39="","",IF(N(P39)&gt;0,N(V38)+1,0))</f>
        <v>2</v>
      </c>
      <c r="W39" s="21" t="str">
        <f aca="false">IF($A39="","",IF(WEEKDAY($A39,2)&lt;&gt;7,"",IF(AND(OR(Q39="",N(Q39)&gt;=$A39+16/24,N(R39)&lt;=$A39+6/24),OR(S39="",N(S39)&lt;=$A39+6/24)),1,0)))</f>
        <v/>
      </c>
      <c r="X39" s="26" t="str">
        <f aca="false">IF($A39="","",IF(INDEX(Muster!$C$8:$BF$8,1,MOD($A39-Einstellungen!$C$6,Einstellungen!$C$7)+1)="","-",INDEX(Muster!$C$8:$BF$8,1,MOD($A39-Einstellungen!$C$6,Einstellungen!$C$7)+1)))</f>
        <v>S</v>
      </c>
      <c r="Y39" s="27" t="n">
        <f aca="false">IF($A39="","",IFERROR(VLOOKUP(X39,Schichten!$A$5:$G$24,6,FALSE()),0))</f>
        <v>8</v>
      </c>
      <c r="Z39" s="27" t="n">
        <f aca="false">IF($A39="","",IFERROR(VLOOKUP(X39,Schichten!$A$5:$G$24,7,FALSE()),0))</f>
        <v>0</v>
      </c>
      <c r="AA39" s="28" t="n">
        <f aca="false">IF($A39="","",IF(N(Y39)=0,"",$A39+VLOOKUP(X39,Schichten!$A$5:$G$24,3,FALSE())))</f>
        <v>46422.5833333333</v>
      </c>
      <c r="AB39" s="28" t="n">
        <f aca="false">IF(AA39="","",$A39+VLOOKUP(X39,Schichten!$A$5:$G$24,4,FALSE())+IF(VLOOKUP(X39,Schichten!$A$5:$G$24,4,FALSE())&lt;=VLOOKUP(X39,Schichten!$A$5:$G$24,3,FALSE()),1,0))</f>
        <v>46422.9166666667</v>
      </c>
      <c r="AC39" s="28" t="n">
        <f aca="false">IF($A39="","",IF(N(Y38)&gt;0,AB38,AC38))</f>
        <v>46421.9166666667</v>
      </c>
      <c r="AD39" s="27" t="n">
        <f aca="false">IF(OR(AA39="",AC39=""),"",(AA39-AC39)*24)</f>
        <v>16</v>
      </c>
      <c r="AE39" s="21" t="n">
        <f aca="false">IF($A39="","",IF(N(Y39)&gt;0,N(AE38)+1,0))</f>
        <v>4</v>
      </c>
      <c r="AF39" s="21" t="n">
        <f aca="false">IF($A39="","",IF(N(Z39)&gt;0,N(AF38)+1,0))</f>
        <v>0</v>
      </c>
      <c r="AG39" s="21" t="str">
        <f aca="false">IF($A39="","",IF(WEEKDAY($A39,2)&lt;&gt;7,"",IF(AND(OR(AA39="",N(AA39)&gt;=$A39+16/24,N(AB39)&lt;=$A39+6/24),OR(AC39="",N(AC39)&lt;=$A39+6/24)),1,0)))</f>
        <v/>
      </c>
      <c r="AH39" s="26" t="str">
        <f aca="false">IF($A39="","",IF(INDEX(Muster!$C$9:$BF$9,1,MOD($A39-Einstellungen!$C$6,Einstellungen!$C$7)+1)="","-",INDEX(Muster!$C$9:$BF$9,1,MOD($A39-Einstellungen!$C$6,Einstellungen!$C$7)+1)))</f>
        <v>F</v>
      </c>
      <c r="AI39" s="27" t="n">
        <f aca="false">IF($A39="","",IFERROR(VLOOKUP(AH39,Schichten!$A$5:$G$24,6,FALSE()),0))</f>
        <v>8</v>
      </c>
      <c r="AJ39" s="27" t="n">
        <f aca="false">IF($A39="","",IFERROR(VLOOKUP(AH39,Schichten!$A$5:$G$24,7,FALSE()),0))</f>
        <v>0</v>
      </c>
      <c r="AK39" s="28" t="n">
        <f aca="false">IF($A39="","",IF(N(AI39)=0,"",$A39+VLOOKUP(AH39,Schichten!$A$5:$G$24,3,FALSE())))</f>
        <v>46422.25</v>
      </c>
      <c r="AL39" s="28" t="n">
        <f aca="false">IF(AK39="","",$A39+VLOOKUP(AH39,Schichten!$A$5:$G$24,4,FALSE())+IF(VLOOKUP(AH39,Schichten!$A$5:$G$24,4,FALSE())&lt;=VLOOKUP(AH39,Schichten!$A$5:$G$24,3,FALSE()),1,0))</f>
        <v>46422.5833333333</v>
      </c>
      <c r="AM39" s="28" t="n">
        <f aca="false">IF($A39="","",IF(N(AI38)&gt;0,AL38,AM38))</f>
        <v>46421.5833333333</v>
      </c>
      <c r="AN39" s="27" t="n">
        <f aca="false">IF(OR(AK39="",AM39=""),"",(AK39-AM39)*24)</f>
        <v>16</v>
      </c>
      <c r="AO39" s="21" t="n">
        <f aca="false">IF($A39="","",IF(N(AI39)&gt;0,N(AO38)+1,0))</f>
        <v>2</v>
      </c>
      <c r="AP39" s="21" t="n">
        <f aca="false">IF($A39="","",IF(N(AJ39)&gt;0,N(AP38)+1,0))</f>
        <v>0</v>
      </c>
      <c r="AQ39" s="21" t="str">
        <f aca="false">IF($A39="","",IF(WEEKDAY($A39,2)&lt;&gt;7,"",IF(AND(OR(AK39="",N(AK39)&gt;=$A39+16/24,N(AL39)&lt;=$A39+6/24),OR(AM39="",N(AM39)&lt;=$A39+6/24)),1,0)))</f>
        <v/>
      </c>
      <c r="AR39" s="26" t="str">
        <f aca="false">IF($A39="","",IF(INDEX(Muster!$C$10:$BF$10,1,MOD($A39-Einstellungen!$C$6,Einstellungen!$C$7)+1)="","-",INDEX(Muster!$C$10:$BF$10,1,MOD($A39-Einstellungen!$C$6,Einstellungen!$C$7)+1)))</f>
        <v>-</v>
      </c>
      <c r="AS39" s="27" t="n">
        <f aca="false">IF($A39="","",IFERROR(VLOOKUP(AR39,Schichten!$A$5:$G$24,6,FALSE()),0))</f>
        <v>0</v>
      </c>
      <c r="AT39" s="27" t="n">
        <f aca="false">IF($A39="","",IFERROR(VLOOKUP(AR39,Schichten!$A$5:$G$24,7,FALSE()),0))</f>
        <v>0</v>
      </c>
      <c r="AU39" s="28" t="str">
        <f aca="false">IF($A39="","",IF(N(AS39)=0,"",$A39+VLOOKUP(AR39,Schichten!$A$5:$G$24,3,FALSE())))</f>
        <v/>
      </c>
      <c r="AV39" s="28" t="str">
        <f aca="false">IF(AU39="","",$A39+VLOOKUP(AR39,Schichten!$A$5:$G$24,4,FALSE())+IF(VLOOKUP(AR39,Schichten!$A$5:$G$24,4,FALSE())&lt;=VLOOKUP(AR39,Schichten!$A$5:$G$24,3,FALSE()),1,0))</f>
        <v/>
      </c>
      <c r="AW39" s="28" t="str">
        <f aca="false">IF($A39="","",IF(N(AS38)&gt;0,AV38,AW38))</f>
        <v/>
      </c>
      <c r="AX39" s="27" t="str">
        <f aca="false">IF(OR(AU39="",AW39=""),"",(AU39-AW39)*24)</f>
        <v/>
      </c>
      <c r="AY39" s="21" t="n">
        <f aca="false">IF($A39="","",IF(N(AS39)&gt;0,N(AY38)+1,0))</f>
        <v>0</v>
      </c>
      <c r="AZ39" s="21" t="n">
        <f aca="false">IF($A39="","",IF(N(AT39)&gt;0,N(AZ38)+1,0))</f>
        <v>0</v>
      </c>
      <c r="BA39" s="21" t="str">
        <f aca="false">IF($A39="","",IF(WEEKDAY($A39,2)&lt;&gt;7,"",IF(AND(OR(AU39="",N(AU39)&gt;=$A39+16/24,N(AV39)&lt;=$A39+6/24),OR(AW39="",N(AW39)&lt;=$A39+6/24)),1,0)))</f>
        <v/>
      </c>
    </row>
    <row r="40" customFormat="false" ht="15" hidden="false" customHeight="false" outlineLevel="0" collapsed="false">
      <c r="A40" s="25" t="n">
        <f aca="false">IF(YEAR(DATE(Einstellungen!$C$4,1,1)+35)=Einstellungen!$C$4,DATE(Einstellungen!$C$4,1,1)+35,"")</f>
        <v>46423</v>
      </c>
      <c r="B40" s="26" t="str">
        <f aca="false">IF($A40="","",CHOOSE(WEEKDAY($A40,2),"Mo","Di","Mi","Do","Fr","Sa","So"))</f>
        <v>Fr</v>
      </c>
      <c r="C40" s="26" t="n">
        <f aca="false">IF($A40="","",MONTH($A40))</f>
        <v>2</v>
      </c>
      <c r="D40" s="26" t="str">
        <f aca="false">IF($A40="","",IF(INDEX(Muster!$C$6:$BF$6,1,MOD($A40-Einstellungen!$C$6,Einstellungen!$C$7)+1)="","-",INDEX(Muster!$C$6:$BF$6,1,MOD($A40-Einstellungen!$C$6,Einstellungen!$C$7)+1)))</f>
        <v>F</v>
      </c>
      <c r="E40" s="27" t="n">
        <f aca="false">IF($A40="","",IFERROR(VLOOKUP(D40,Schichten!$A$5:$G$24,6,FALSE()),0))</f>
        <v>8</v>
      </c>
      <c r="F40" s="27" t="n">
        <f aca="false">IF($A40="","",IFERROR(VLOOKUP(D40,Schichten!$A$5:$G$24,7,FALSE()),0))</f>
        <v>0</v>
      </c>
      <c r="G40" s="28" t="n">
        <f aca="false">IF($A40="","",IF(N(E40)=0,"",$A40+VLOOKUP(D40,Schichten!$A$5:$G$24,3,FALSE())))</f>
        <v>46423.25</v>
      </c>
      <c r="H40" s="28" t="n">
        <f aca="false">IF(G40="","",$A40+VLOOKUP(D40,Schichten!$A$5:$G$24,4,FALSE())+IF(VLOOKUP(D40,Schichten!$A$5:$G$24,4,FALSE())&lt;=VLOOKUP(D40,Schichten!$A$5:$G$24,3,FALSE()),1,0))</f>
        <v>46423.5833333333</v>
      </c>
      <c r="I40" s="28" t="n">
        <f aca="false">IF($A40="","",IF(N(E39)&gt;0,H39,I39))</f>
        <v>46421.25</v>
      </c>
      <c r="J40" s="27" t="n">
        <f aca="false">IF(OR(G40="",I40=""),"",(G40-I40)*24)</f>
        <v>48</v>
      </c>
      <c r="K40" s="21" t="n">
        <f aca="false">IF($A40="","",IF(N(E40)&gt;0,N(K39)+1,0))</f>
        <v>1</v>
      </c>
      <c r="L40" s="21" t="n">
        <f aca="false">IF($A40="","",IF(N(F40)&gt;0,N(L39)+1,0))</f>
        <v>0</v>
      </c>
      <c r="M40" s="21" t="str">
        <f aca="false">IF($A40="","",IF(WEEKDAY($A40,2)&lt;&gt;7,"",IF(AND(OR(G40="",N(G40)&gt;=$A40+16/24,N(H40)&lt;=$A40+6/24),OR(I40="",N(I40)&lt;=$A40+6/24)),1,0)))</f>
        <v/>
      </c>
      <c r="N40" s="26" t="str">
        <f aca="false">IF($A40="","",IF(INDEX(Muster!$C$7:$BF$7,1,MOD($A40-Einstellungen!$C$6,Einstellungen!$C$7)+1)="","-",INDEX(Muster!$C$7:$BF$7,1,MOD($A40-Einstellungen!$C$6,Einstellungen!$C$7)+1)))</f>
        <v>-</v>
      </c>
      <c r="O40" s="27" t="n">
        <f aca="false">IF($A40="","",IFERROR(VLOOKUP(N40,Schichten!$A$5:$G$24,6,FALSE()),0))</f>
        <v>0</v>
      </c>
      <c r="P40" s="27" t="n">
        <f aca="false">IF($A40="","",IFERROR(VLOOKUP(N40,Schichten!$A$5:$G$24,7,FALSE()),0))</f>
        <v>0</v>
      </c>
      <c r="Q40" s="28" t="str">
        <f aca="false">IF($A40="","",IF(N(O40)=0,"",$A40+VLOOKUP(N40,Schichten!$A$5:$G$24,3,FALSE())))</f>
        <v/>
      </c>
      <c r="R40" s="28" t="str">
        <f aca="false">IF(Q40="","",$A40+VLOOKUP(N40,Schichten!$A$5:$G$24,4,FALSE())+IF(VLOOKUP(N40,Schichten!$A$5:$G$24,4,FALSE())&lt;=VLOOKUP(N40,Schichten!$A$5:$G$24,3,FALSE()),1,0))</f>
        <v/>
      </c>
      <c r="S40" s="28" t="n">
        <f aca="false">IF($A40="","",IF(N(O39)&gt;0,R39,S39))</f>
        <v>46423.25</v>
      </c>
      <c r="T40" s="27" t="str">
        <f aca="false">IF(OR(Q40="",S40=""),"",(Q40-S40)*24)</f>
        <v/>
      </c>
      <c r="U40" s="21" t="n">
        <f aca="false">IF($A40="","",IF(N(O40)&gt;0,N(U39)+1,0))</f>
        <v>0</v>
      </c>
      <c r="V40" s="21" t="n">
        <f aca="false">IF($A40="","",IF(N(P40)&gt;0,N(V39)+1,0))</f>
        <v>0</v>
      </c>
      <c r="W40" s="21" t="str">
        <f aca="false">IF($A40="","",IF(WEEKDAY($A40,2)&lt;&gt;7,"",IF(AND(OR(Q40="",N(Q40)&gt;=$A40+16/24,N(R40)&lt;=$A40+6/24),OR(S40="",N(S40)&lt;=$A40+6/24)),1,0)))</f>
        <v/>
      </c>
      <c r="X40" s="26" t="str">
        <f aca="false">IF($A40="","",IF(INDEX(Muster!$C$8:$BF$8,1,MOD($A40-Einstellungen!$C$6,Einstellungen!$C$7)+1)="","-",INDEX(Muster!$C$8:$BF$8,1,MOD($A40-Einstellungen!$C$6,Einstellungen!$C$7)+1)))</f>
        <v>N</v>
      </c>
      <c r="Y40" s="27" t="n">
        <f aca="false">IF($A40="","",IFERROR(VLOOKUP(X40,Schichten!$A$5:$G$24,6,FALSE()),0))</f>
        <v>8</v>
      </c>
      <c r="Z40" s="27" t="n">
        <f aca="false">IF($A40="","",IFERROR(VLOOKUP(X40,Schichten!$A$5:$G$24,7,FALSE()),0))</f>
        <v>7</v>
      </c>
      <c r="AA40" s="28" t="n">
        <f aca="false">IF($A40="","",IF(N(Y40)=0,"",$A40+VLOOKUP(X40,Schichten!$A$5:$G$24,3,FALSE())))</f>
        <v>46423.9166666667</v>
      </c>
      <c r="AB40" s="28" t="n">
        <f aca="false">IF(AA40="","",$A40+VLOOKUP(X40,Schichten!$A$5:$G$24,4,FALSE())+IF(VLOOKUP(X40,Schichten!$A$5:$G$24,4,FALSE())&lt;=VLOOKUP(X40,Schichten!$A$5:$G$24,3,FALSE()),1,0))</f>
        <v>46424.25</v>
      </c>
      <c r="AC40" s="28" t="n">
        <f aca="false">IF($A40="","",IF(N(Y39)&gt;0,AB39,AC39))</f>
        <v>46422.9166666667</v>
      </c>
      <c r="AD40" s="27" t="n">
        <f aca="false">IF(OR(AA40="",AC40=""),"",(AA40-AC40)*24)</f>
        <v>24</v>
      </c>
      <c r="AE40" s="21" t="n">
        <f aca="false">IF($A40="","",IF(N(Y40)&gt;0,N(AE39)+1,0))</f>
        <v>5</v>
      </c>
      <c r="AF40" s="21" t="n">
        <f aca="false">IF($A40="","",IF(N(Z40)&gt;0,N(AF39)+1,0))</f>
        <v>1</v>
      </c>
      <c r="AG40" s="21" t="str">
        <f aca="false">IF($A40="","",IF(WEEKDAY($A40,2)&lt;&gt;7,"",IF(AND(OR(AA40="",N(AA40)&gt;=$A40+16/24,N(AB40)&lt;=$A40+6/24),OR(AC40="",N(AC40)&lt;=$A40+6/24)),1,0)))</f>
        <v/>
      </c>
      <c r="AH40" s="26" t="str">
        <f aca="false">IF($A40="","",IF(INDEX(Muster!$C$9:$BF$9,1,MOD($A40-Einstellungen!$C$6,Einstellungen!$C$7)+1)="","-",INDEX(Muster!$C$9:$BF$9,1,MOD($A40-Einstellungen!$C$6,Einstellungen!$C$7)+1)))</f>
        <v>S</v>
      </c>
      <c r="AI40" s="27" t="n">
        <f aca="false">IF($A40="","",IFERROR(VLOOKUP(AH40,Schichten!$A$5:$G$24,6,FALSE()),0))</f>
        <v>8</v>
      </c>
      <c r="AJ40" s="27" t="n">
        <f aca="false">IF($A40="","",IFERROR(VLOOKUP(AH40,Schichten!$A$5:$G$24,7,FALSE()),0))</f>
        <v>0</v>
      </c>
      <c r="AK40" s="28" t="n">
        <f aca="false">IF($A40="","",IF(N(AI40)=0,"",$A40+VLOOKUP(AH40,Schichten!$A$5:$G$24,3,FALSE())))</f>
        <v>46423.5833333333</v>
      </c>
      <c r="AL40" s="28" t="n">
        <f aca="false">IF(AK40="","",$A40+VLOOKUP(AH40,Schichten!$A$5:$G$24,4,FALSE())+IF(VLOOKUP(AH40,Schichten!$A$5:$G$24,4,FALSE())&lt;=VLOOKUP(AH40,Schichten!$A$5:$G$24,3,FALSE()),1,0))</f>
        <v>46423.9166666667</v>
      </c>
      <c r="AM40" s="28" t="n">
        <f aca="false">IF($A40="","",IF(N(AI39)&gt;0,AL39,AM39))</f>
        <v>46422.5833333333</v>
      </c>
      <c r="AN40" s="27" t="n">
        <f aca="false">IF(OR(AK40="",AM40=""),"",(AK40-AM40)*24)</f>
        <v>24</v>
      </c>
      <c r="AO40" s="21" t="n">
        <f aca="false">IF($A40="","",IF(N(AI40)&gt;0,N(AO39)+1,0))</f>
        <v>3</v>
      </c>
      <c r="AP40" s="21" t="n">
        <f aca="false">IF($A40="","",IF(N(AJ40)&gt;0,N(AP39)+1,0))</f>
        <v>0</v>
      </c>
      <c r="AQ40" s="21" t="str">
        <f aca="false">IF($A40="","",IF(WEEKDAY($A40,2)&lt;&gt;7,"",IF(AND(OR(AK40="",N(AK40)&gt;=$A40+16/24,N(AL40)&lt;=$A40+6/24),OR(AM40="",N(AM40)&lt;=$A40+6/24)),1,0)))</f>
        <v/>
      </c>
      <c r="AR40" s="26" t="str">
        <f aca="false">IF($A40="","",IF(INDEX(Muster!$C$10:$BF$10,1,MOD($A40-Einstellungen!$C$6,Einstellungen!$C$7)+1)="","-",INDEX(Muster!$C$10:$BF$10,1,MOD($A40-Einstellungen!$C$6,Einstellungen!$C$7)+1)))</f>
        <v>-</v>
      </c>
      <c r="AS40" s="27" t="n">
        <f aca="false">IF($A40="","",IFERROR(VLOOKUP(AR40,Schichten!$A$5:$G$24,6,FALSE()),0))</f>
        <v>0</v>
      </c>
      <c r="AT40" s="27" t="n">
        <f aca="false">IF($A40="","",IFERROR(VLOOKUP(AR40,Schichten!$A$5:$G$24,7,FALSE()),0))</f>
        <v>0</v>
      </c>
      <c r="AU40" s="28" t="str">
        <f aca="false">IF($A40="","",IF(N(AS40)=0,"",$A40+VLOOKUP(AR40,Schichten!$A$5:$G$24,3,FALSE())))</f>
        <v/>
      </c>
      <c r="AV40" s="28" t="str">
        <f aca="false">IF(AU40="","",$A40+VLOOKUP(AR40,Schichten!$A$5:$G$24,4,FALSE())+IF(VLOOKUP(AR40,Schichten!$A$5:$G$24,4,FALSE())&lt;=VLOOKUP(AR40,Schichten!$A$5:$G$24,3,FALSE()),1,0))</f>
        <v/>
      </c>
      <c r="AW40" s="28" t="str">
        <f aca="false">IF($A40="","",IF(N(AS39)&gt;0,AV39,AW39))</f>
        <v/>
      </c>
      <c r="AX40" s="27" t="str">
        <f aca="false">IF(OR(AU40="",AW40=""),"",(AU40-AW40)*24)</f>
        <v/>
      </c>
      <c r="AY40" s="21" t="n">
        <f aca="false">IF($A40="","",IF(N(AS40)&gt;0,N(AY39)+1,0))</f>
        <v>0</v>
      </c>
      <c r="AZ40" s="21" t="n">
        <f aca="false">IF($A40="","",IF(N(AT40)&gt;0,N(AZ39)+1,0))</f>
        <v>0</v>
      </c>
      <c r="BA40" s="21" t="str">
        <f aca="false">IF($A40="","",IF(WEEKDAY($A40,2)&lt;&gt;7,"",IF(AND(OR(AU40="",N(AU40)&gt;=$A40+16/24,N(AV40)&lt;=$A40+6/24),OR(AW40="",N(AW40)&lt;=$A40+6/24)),1,0)))</f>
        <v/>
      </c>
    </row>
    <row r="41" customFormat="false" ht="15" hidden="false" customHeight="false" outlineLevel="0" collapsed="false">
      <c r="A41" s="25" t="n">
        <f aca="false">IF(YEAR(DATE(Einstellungen!$C$4,1,1)+36)=Einstellungen!$C$4,DATE(Einstellungen!$C$4,1,1)+36,"")</f>
        <v>46424</v>
      </c>
      <c r="B41" s="26" t="str">
        <f aca="false">IF($A41="","",CHOOSE(WEEKDAY($A41,2),"Mo","Di","Mi","Do","Fr","Sa","So"))</f>
        <v>Sa</v>
      </c>
      <c r="C41" s="26" t="n">
        <f aca="false">IF($A41="","",MONTH($A41))</f>
        <v>2</v>
      </c>
      <c r="D41" s="26" t="str">
        <f aca="false">IF($A41="","",IF(INDEX(Muster!$C$6:$BF$6,1,MOD($A41-Einstellungen!$C$6,Einstellungen!$C$7)+1)="","-",INDEX(Muster!$C$6:$BF$6,1,MOD($A41-Einstellungen!$C$6,Einstellungen!$C$7)+1)))</f>
        <v>F</v>
      </c>
      <c r="E41" s="27" t="n">
        <f aca="false">IF($A41="","",IFERROR(VLOOKUP(D41,Schichten!$A$5:$G$24,6,FALSE()),0))</f>
        <v>8</v>
      </c>
      <c r="F41" s="27" t="n">
        <f aca="false">IF($A41="","",IFERROR(VLOOKUP(D41,Schichten!$A$5:$G$24,7,FALSE()),0))</f>
        <v>0</v>
      </c>
      <c r="G41" s="28" t="n">
        <f aca="false">IF($A41="","",IF(N(E41)=0,"",$A41+VLOOKUP(D41,Schichten!$A$5:$G$24,3,FALSE())))</f>
        <v>46424.25</v>
      </c>
      <c r="H41" s="28" t="n">
        <f aca="false">IF(G41="","",$A41+VLOOKUP(D41,Schichten!$A$5:$G$24,4,FALSE())+IF(VLOOKUP(D41,Schichten!$A$5:$G$24,4,FALSE())&lt;=VLOOKUP(D41,Schichten!$A$5:$G$24,3,FALSE()),1,0))</f>
        <v>46424.5833333333</v>
      </c>
      <c r="I41" s="28" t="n">
        <f aca="false">IF($A41="","",IF(N(E40)&gt;0,H40,I40))</f>
        <v>46423.5833333333</v>
      </c>
      <c r="J41" s="27" t="n">
        <f aca="false">IF(OR(G41="",I41=""),"",(G41-I41)*24)</f>
        <v>16</v>
      </c>
      <c r="K41" s="21" t="n">
        <f aca="false">IF($A41="","",IF(N(E41)&gt;0,N(K40)+1,0))</f>
        <v>2</v>
      </c>
      <c r="L41" s="21" t="n">
        <f aca="false">IF($A41="","",IF(N(F41)&gt;0,N(L40)+1,0))</f>
        <v>0</v>
      </c>
      <c r="M41" s="21" t="str">
        <f aca="false">IF($A41="","",IF(WEEKDAY($A41,2)&lt;&gt;7,"",IF(AND(OR(G41="",N(G41)&gt;=$A41+16/24,N(H41)&lt;=$A41+6/24),OR(I41="",N(I41)&lt;=$A41+6/24)),1,0)))</f>
        <v/>
      </c>
      <c r="N41" s="26" t="str">
        <f aca="false">IF($A41="","",IF(INDEX(Muster!$C$7:$BF$7,1,MOD($A41-Einstellungen!$C$6,Einstellungen!$C$7)+1)="","-",INDEX(Muster!$C$7:$BF$7,1,MOD($A41-Einstellungen!$C$6,Einstellungen!$C$7)+1)))</f>
        <v>-</v>
      </c>
      <c r="O41" s="27" t="n">
        <f aca="false">IF($A41="","",IFERROR(VLOOKUP(N41,Schichten!$A$5:$G$24,6,FALSE()),0))</f>
        <v>0</v>
      </c>
      <c r="P41" s="27" t="n">
        <f aca="false">IF($A41="","",IFERROR(VLOOKUP(N41,Schichten!$A$5:$G$24,7,FALSE()),0))</f>
        <v>0</v>
      </c>
      <c r="Q41" s="28" t="str">
        <f aca="false">IF($A41="","",IF(N(O41)=0,"",$A41+VLOOKUP(N41,Schichten!$A$5:$G$24,3,FALSE())))</f>
        <v/>
      </c>
      <c r="R41" s="28" t="str">
        <f aca="false">IF(Q41="","",$A41+VLOOKUP(N41,Schichten!$A$5:$G$24,4,FALSE())+IF(VLOOKUP(N41,Schichten!$A$5:$G$24,4,FALSE())&lt;=VLOOKUP(N41,Schichten!$A$5:$G$24,3,FALSE()),1,0))</f>
        <v/>
      </c>
      <c r="S41" s="28" t="n">
        <f aca="false">IF($A41="","",IF(N(O40)&gt;0,R40,S40))</f>
        <v>46423.25</v>
      </c>
      <c r="T41" s="27" t="str">
        <f aca="false">IF(OR(Q41="",S41=""),"",(Q41-S41)*24)</f>
        <v/>
      </c>
      <c r="U41" s="21" t="n">
        <f aca="false">IF($A41="","",IF(N(O41)&gt;0,N(U40)+1,0))</f>
        <v>0</v>
      </c>
      <c r="V41" s="21" t="n">
        <f aca="false">IF($A41="","",IF(N(P41)&gt;0,N(V40)+1,0))</f>
        <v>0</v>
      </c>
      <c r="W41" s="21" t="str">
        <f aca="false">IF($A41="","",IF(WEEKDAY($A41,2)&lt;&gt;7,"",IF(AND(OR(Q41="",N(Q41)&gt;=$A41+16/24,N(R41)&lt;=$A41+6/24),OR(S41="",N(S41)&lt;=$A41+6/24)),1,0)))</f>
        <v/>
      </c>
      <c r="X41" s="26" t="str">
        <f aca="false">IF($A41="","",IF(INDEX(Muster!$C$8:$BF$8,1,MOD($A41-Einstellungen!$C$6,Einstellungen!$C$7)+1)="","-",INDEX(Muster!$C$8:$BF$8,1,MOD($A41-Einstellungen!$C$6,Einstellungen!$C$7)+1)))</f>
        <v>N</v>
      </c>
      <c r="Y41" s="27" t="n">
        <f aca="false">IF($A41="","",IFERROR(VLOOKUP(X41,Schichten!$A$5:$G$24,6,FALSE()),0))</f>
        <v>8</v>
      </c>
      <c r="Z41" s="27" t="n">
        <f aca="false">IF($A41="","",IFERROR(VLOOKUP(X41,Schichten!$A$5:$G$24,7,FALSE()),0))</f>
        <v>7</v>
      </c>
      <c r="AA41" s="28" t="n">
        <f aca="false">IF($A41="","",IF(N(Y41)=0,"",$A41+VLOOKUP(X41,Schichten!$A$5:$G$24,3,FALSE())))</f>
        <v>46424.9166666667</v>
      </c>
      <c r="AB41" s="28" t="n">
        <f aca="false">IF(AA41="","",$A41+VLOOKUP(X41,Schichten!$A$5:$G$24,4,FALSE())+IF(VLOOKUP(X41,Schichten!$A$5:$G$24,4,FALSE())&lt;=VLOOKUP(X41,Schichten!$A$5:$G$24,3,FALSE()),1,0))</f>
        <v>46425.25</v>
      </c>
      <c r="AC41" s="28" t="n">
        <f aca="false">IF($A41="","",IF(N(Y40)&gt;0,AB40,AC40))</f>
        <v>46424.25</v>
      </c>
      <c r="AD41" s="27" t="n">
        <f aca="false">IF(OR(AA41="",AC41=""),"",(AA41-AC41)*24)</f>
        <v>16</v>
      </c>
      <c r="AE41" s="21" t="n">
        <f aca="false">IF($A41="","",IF(N(Y41)&gt;0,N(AE40)+1,0))</f>
        <v>6</v>
      </c>
      <c r="AF41" s="21" t="n">
        <f aca="false">IF($A41="","",IF(N(Z41)&gt;0,N(AF40)+1,0))</f>
        <v>2</v>
      </c>
      <c r="AG41" s="21" t="str">
        <f aca="false">IF($A41="","",IF(WEEKDAY($A41,2)&lt;&gt;7,"",IF(AND(OR(AA41="",N(AA41)&gt;=$A41+16/24,N(AB41)&lt;=$A41+6/24),OR(AC41="",N(AC41)&lt;=$A41+6/24)),1,0)))</f>
        <v/>
      </c>
      <c r="AH41" s="26" t="str">
        <f aca="false">IF($A41="","",IF(INDEX(Muster!$C$9:$BF$9,1,MOD($A41-Einstellungen!$C$6,Einstellungen!$C$7)+1)="","-",INDEX(Muster!$C$9:$BF$9,1,MOD($A41-Einstellungen!$C$6,Einstellungen!$C$7)+1)))</f>
        <v>S</v>
      </c>
      <c r="AI41" s="27" t="n">
        <f aca="false">IF($A41="","",IFERROR(VLOOKUP(AH41,Schichten!$A$5:$G$24,6,FALSE()),0))</f>
        <v>8</v>
      </c>
      <c r="AJ41" s="27" t="n">
        <f aca="false">IF($A41="","",IFERROR(VLOOKUP(AH41,Schichten!$A$5:$G$24,7,FALSE()),0))</f>
        <v>0</v>
      </c>
      <c r="AK41" s="28" t="n">
        <f aca="false">IF($A41="","",IF(N(AI41)=0,"",$A41+VLOOKUP(AH41,Schichten!$A$5:$G$24,3,FALSE())))</f>
        <v>46424.5833333333</v>
      </c>
      <c r="AL41" s="28" t="n">
        <f aca="false">IF(AK41="","",$A41+VLOOKUP(AH41,Schichten!$A$5:$G$24,4,FALSE())+IF(VLOOKUP(AH41,Schichten!$A$5:$G$24,4,FALSE())&lt;=VLOOKUP(AH41,Schichten!$A$5:$G$24,3,FALSE()),1,0))</f>
        <v>46424.9166666667</v>
      </c>
      <c r="AM41" s="28" t="n">
        <f aca="false">IF($A41="","",IF(N(AI40)&gt;0,AL40,AM40))</f>
        <v>46423.9166666667</v>
      </c>
      <c r="AN41" s="27" t="n">
        <f aca="false">IF(OR(AK41="",AM41=""),"",(AK41-AM41)*24)</f>
        <v>16</v>
      </c>
      <c r="AO41" s="21" t="n">
        <f aca="false">IF($A41="","",IF(N(AI41)&gt;0,N(AO40)+1,0))</f>
        <v>4</v>
      </c>
      <c r="AP41" s="21" t="n">
        <f aca="false">IF($A41="","",IF(N(AJ41)&gt;0,N(AP40)+1,0))</f>
        <v>0</v>
      </c>
      <c r="AQ41" s="21" t="str">
        <f aca="false">IF($A41="","",IF(WEEKDAY($A41,2)&lt;&gt;7,"",IF(AND(OR(AK41="",N(AK41)&gt;=$A41+16/24,N(AL41)&lt;=$A41+6/24),OR(AM41="",N(AM41)&lt;=$A41+6/24)),1,0)))</f>
        <v/>
      </c>
      <c r="AR41" s="26" t="str">
        <f aca="false">IF($A41="","",IF(INDEX(Muster!$C$10:$BF$10,1,MOD($A41-Einstellungen!$C$6,Einstellungen!$C$7)+1)="","-",INDEX(Muster!$C$10:$BF$10,1,MOD($A41-Einstellungen!$C$6,Einstellungen!$C$7)+1)))</f>
        <v>-</v>
      </c>
      <c r="AS41" s="27" t="n">
        <f aca="false">IF($A41="","",IFERROR(VLOOKUP(AR41,Schichten!$A$5:$G$24,6,FALSE()),0))</f>
        <v>0</v>
      </c>
      <c r="AT41" s="27" t="n">
        <f aca="false">IF($A41="","",IFERROR(VLOOKUP(AR41,Schichten!$A$5:$G$24,7,FALSE()),0))</f>
        <v>0</v>
      </c>
      <c r="AU41" s="28" t="str">
        <f aca="false">IF($A41="","",IF(N(AS41)=0,"",$A41+VLOOKUP(AR41,Schichten!$A$5:$G$24,3,FALSE())))</f>
        <v/>
      </c>
      <c r="AV41" s="28" t="str">
        <f aca="false">IF(AU41="","",$A41+VLOOKUP(AR41,Schichten!$A$5:$G$24,4,FALSE())+IF(VLOOKUP(AR41,Schichten!$A$5:$G$24,4,FALSE())&lt;=VLOOKUP(AR41,Schichten!$A$5:$G$24,3,FALSE()),1,0))</f>
        <v/>
      </c>
      <c r="AW41" s="28" t="str">
        <f aca="false">IF($A41="","",IF(N(AS40)&gt;0,AV40,AW40))</f>
        <v/>
      </c>
      <c r="AX41" s="27" t="str">
        <f aca="false">IF(OR(AU41="",AW41=""),"",(AU41-AW41)*24)</f>
        <v/>
      </c>
      <c r="AY41" s="21" t="n">
        <f aca="false">IF($A41="","",IF(N(AS41)&gt;0,N(AY40)+1,0))</f>
        <v>0</v>
      </c>
      <c r="AZ41" s="21" t="n">
        <f aca="false">IF($A41="","",IF(N(AT41)&gt;0,N(AZ40)+1,0))</f>
        <v>0</v>
      </c>
      <c r="BA41" s="21" t="str">
        <f aca="false">IF($A41="","",IF(WEEKDAY($A41,2)&lt;&gt;7,"",IF(AND(OR(AU41="",N(AU41)&gt;=$A41+16/24,N(AV41)&lt;=$A41+6/24),OR(AW41="",N(AW41)&lt;=$A41+6/24)),1,0)))</f>
        <v/>
      </c>
    </row>
    <row r="42" customFormat="false" ht="15" hidden="false" customHeight="false" outlineLevel="0" collapsed="false">
      <c r="A42" s="25" t="n">
        <f aca="false">IF(YEAR(DATE(Einstellungen!$C$4,1,1)+37)=Einstellungen!$C$4,DATE(Einstellungen!$C$4,1,1)+37,"")</f>
        <v>46425</v>
      </c>
      <c r="B42" s="26" t="str">
        <f aca="false">IF($A42="","",CHOOSE(WEEKDAY($A42,2),"Mo","Di","Mi","Do","Fr","Sa","So"))</f>
        <v>So</v>
      </c>
      <c r="C42" s="26" t="n">
        <f aca="false">IF($A42="","",MONTH($A42))</f>
        <v>2</v>
      </c>
      <c r="D42" s="26" t="str">
        <f aca="false">IF($A42="","",IF(INDEX(Muster!$C$6:$BF$6,1,MOD($A42-Einstellungen!$C$6,Einstellungen!$C$7)+1)="","-",INDEX(Muster!$C$6:$BF$6,1,MOD($A42-Einstellungen!$C$6,Einstellungen!$C$7)+1)))</f>
        <v>S</v>
      </c>
      <c r="E42" s="27" t="n">
        <f aca="false">IF($A42="","",IFERROR(VLOOKUP(D42,Schichten!$A$5:$G$24,6,FALSE()),0))</f>
        <v>8</v>
      </c>
      <c r="F42" s="27" t="n">
        <f aca="false">IF($A42="","",IFERROR(VLOOKUP(D42,Schichten!$A$5:$G$24,7,FALSE()),0))</f>
        <v>0</v>
      </c>
      <c r="G42" s="28" t="n">
        <f aca="false">IF($A42="","",IF(N(E42)=0,"",$A42+VLOOKUP(D42,Schichten!$A$5:$G$24,3,FALSE())))</f>
        <v>46425.5833333333</v>
      </c>
      <c r="H42" s="28" t="n">
        <f aca="false">IF(G42="","",$A42+VLOOKUP(D42,Schichten!$A$5:$G$24,4,FALSE())+IF(VLOOKUP(D42,Schichten!$A$5:$G$24,4,FALSE())&lt;=VLOOKUP(D42,Schichten!$A$5:$G$24,3,FALSE()),1,0))</f>
        <v>46425.9166666667</v>
      </c>
      <c r="I42" s="28" t="n">
        <f aca="false">IF($A42="","",IF(N(E41)&gt;0,H41,I41))</f>
        <v>46424.5833333333</v>
      </c>
      <c r="J42" s="27" t="n">
        <f aca="false">IF(OR(G42="",I42=""),"",(G42-I42)*24)</f>
        <v>24</v>
      </c>
      <c r="K42" s="21" t="n">
        <f aca="false">IF($A42="","",IF(N(E42)&gt;0,N(K41)+1,0))</f>
        <v>3</v>
      </c>
      <c r="L42" s="21" t="n">
        <f aca="false">IF($A42="","",IF(N(F42)&gt;0,N(L41)+1,0))</f>
        <v>0</v>
      </c>
      <c r="M42" s="21" t="n">
        <f aca="false">IF($A42="","",IF(WEEKDAY($A42,2)&lt;&gt;7,"",IF(AND(OR(G42="",N(G42)&gt;=$A42+16/24,N(H42)&lt;=$A42+6/24),OR(I42="",N(I42)&lt;=$A42+6/24)),1,0)))</f>
        <v>0</v>
      </c>
      <c r="N42" s="26" t="str">
        <f aca="false">IF($A42="","",IF(INDEX(Muster!$C$7:$BF$7,1,MOD($A42-Einstellungen!$C$6,Einstellungen!$C$7)+1)="","-",INDEX(Muster!$C$7:$BF$7,1,MOD($A42-Einstellungen!$C$6,Einstellungen!$C$7)+1)))</f>
        <v>F</v>
      </c>
      <c r="O42" s="27" t="n">
        <f aca="false">IF($A42="","",IFERROR(VLOOKUP(N42,Schichten!$A$5:$G$24,6,FALSE()),0))</f>
        <v>8</v>
      </c>
      <c r="P42" s="27" t="n">
        <f aca="false">IF($A42="","",IFERROR(VLOOKUP(N42,Schichten!$A$5:$G$24,7,FALSE()),0))</f>
        <v>0</v>
      </c>
      <c r="Q42" s="28" t="n">
        <f aca="false">IF($A42="","",IF(N(O42)=0,"",$A42+VLOOKUP(N42,Schichten!$A$5:$G$24,3,FALSE())))</f>
        <v>46425.25</v>
      </c>
      <c r="R42" s="28" t="n">
        <f aca="false">IF(Q42="","",$A42+VLOOKUP(N42,Schichten!$A$5:$G$24,4,FALSE())+IF(VLOOKUP(N42,Schichten!$A$5:$G$24,4,FALSE())&lt;=VLOOKUP(N42,Schichten!$A$5:$G$24,3,FALSE()),1,0))</f>
        <v>46425.5833333333</v>
      </c>
      <c r="S42" s="28" t="n">
        <f aca="false">IF($A42="","",IF(N(O41)&gt;0,R41,S41))</f>
        <v>46423.25</v>
      </c>
      <c r="T42" s="27" t="n">
        <f aca="false">IF(OR(Q42="",S42=""),"",(Q42-S42)*24)</f>
        <v>48</v>
      </c>
      <c r="U42" s="21" t="n">
        <f aca="false">IF($A42="","",IF(N(O42)&gt;0,N(U41)+1,0))</f>
        <v>1</v>
      </c>
      <c r="V42" s="21" t="n">
        <f aca="false">IF($A42="","",IF(N(P42)&gt;0,N(V41)+1,0))</f>
        <v>0</v>
      </c>
      <c r="W42" s="21" t="n">
        <f aca="false">IF($A42="","",IF(WEEKDAY($A42,2)&lt;&gt;7,"",IF(AND(OR(Q42="",N(Q42)&gt;=$A42+16/24,N(R42)&lt;=$A42+6/24),OR(S42="",N(S42)&lt;=$A42+6/24)),1,0)))</f>
        <v>0</v>
      </c>
      <c r="X42" s="26" t="str">
        <f aca="false">IF($A42="","",IF(INDEX(Muster!$C$8:$BF$8,1,MOD($A42-Einstellungen!$C$6,Einstellungen!$C$7)+1)="","-",INDEX(Muster!$C$8:$BF$8,1,MOD($A42-Einstellungen!$C$6,Einstellungen!$C$7)+1)))</f>
        <v>-</v>
      </c>
      <c r="Y42" s="27" t="n">
        <f aca="false">IF($A42="","",IFERROR(VLOOKUP(X42,Schichten!$A$5:$G$24,6,FALSE()),0))</f>
        <v>0</v>
      </c>
      <c r="Z42" s="27" t="n">
        <f aca="false">IF($A42="","",IFERROR(VLOOKUP(X42,Schichten!$A$5:$G$24,7,FALSE()),0))</f>
        <v>0</v>
      </c>
      <c r="AA42" s="28" t="str">
        <f aca="false">IF($A42="","",IF(N(Y42)=0,"",$A42+VLOOKUP(X42,Schichten!$A$5:$G$24,3,FALSE())))</f>
        <v/>
      </c>
      <c r="AB42" s="28" t="str">
        <f aca="false">IF(AA42="","",$A42+VLOOKUP(X42,Schichten!$A$5:$G$24,4,FALSE())+IF(VLOOKUP(X42,Schichten!$A$5:$G$24,4,FALSE())&lt;=VLOOKUP(X42,Schichten!$A$5:$G$24,3,FALSE()),1,0))</f>
        <v/>
      </c>
      <c r="AC42" s="28" t="n">
        <f aca="false">IF($A42="","",IF(N(Y41)&gt;0,AB41,AC41))</f>
        <v>46425.25</v>
      </c>
      <c r="AD42" s="27" t="str">
        <f aca="false">IF(OR(AA42="",AC42=""),"",(AA42-AC42)*24)</f>
        <v/>
      </c>
      <c r="AE42" s="21" t="n">
        <f aca="false">IF($A42="","",IF(N(Y42)&gt;0,N(AE41)+1,0))</f>
        <v>0</v>
      </c>
      <c r="AF42" s="21" t="n">
        <f aca="false">IF($A42="","",IF(N(Z42)&gt;0,N(AF41)+1,0))</f>
        <v>0</v>
      </c>
      <c r="AG42" s="21" t="n">
        <f aca="false">IF($A42="","",IF(WEEKDAY($A42,2)&lt;&gt;7,"",IF(AND(OR(AA42="",N(AA42)&gt;=$A42+16/24,N(AB42)&lt;=$A42+6/24),OR(AC42="",N(AC42)&lt;=$A42+6/24)),1,0)))</f>
        <v>1</v>
      </c>
      <c r="AH42" s="26" t="str">
        <f aca="false">IF($A42="","",IF(INDEX(Muster!$C$9:$BF$9,1,MOD($A42-Einstellungen!$C$6,Einstellungen!$C$7)+1)="","-",INDEX(Muster!$C$9:$BF$9,1,MOD($A42-Einstellungen!$C$6,Einstellungen!$C$7)+1)))</f>
        <v>N</v>
      </c>
      <c r="AI42" s="27" t="n">
        <f aca="false">IF($A42="","",IFERROR(VLOOKUP(AH42,Schichten!$A$5:$G$24,6,FALSE()),0))</f>
        <v>8</v>
      </c>
      <c r="AJ42" s="27" t="n">
        <f aca="false">IF($A42="","",IFERROR(VLOOKUP(AH42,Schichten!$A$5:$G$24,7,FALSE()),0))</f>
        <v>7</v>
      </c>
      <c r="AK42" s="28" t="n">
        <f aca="false">IF($A42="","",IF(N(AI42)=0,"",$A42+VLOOKUP(AH42,Schichten!$A$5:$G$24,3,FALSE())))</f>
        <v>46425.9166666667</v>
      </c>
      <c r="AL42" s="28" t="n">
        <f aca="false">IF(AK42="","",$A42+VLOOKUP(AH42,Schichten!$A$5:$G$24,4,FALSE())+IF(VLOOKUP(AH42,Schichten!$A$5:$G$24,4,FALSE())&lt;=VLOOKUP(AH42,Schichten!$A$5:$G$24,3,FALSE()),1,0))</f>
        <v>46426.25</v>
      </c>
      <c r="AM42" s="28" t="n">
        <f aca="false">IF($A42="","",IF(N(AI41)&gt;0,AL41,AM41))</f>
        <v>46424.9166666667</v>
      </c>
      <c r="AN42" s="27" t="n">
        <f aca="false">IF(OR(AK42="",AM42=""),"",(AK42-AM42)*24)</f>
        <v>24</v>
      </c>
      <c r="AO42" s="21" t="n">
        <f aca="false">IF($A42="","",IF(N(AI42)&gt;0,N(AO41)+1,0))</f>
        <v>5</v>
      </c>
      <c r="AP42" s="21" t="n">
        <f aca="false">IF($A42="","",IF(N(AJ42)&gt;0,N(AP41)+1,0))</f>
        <v>1</v>
      </c>
      <c r="AQ42" s="21" t="n">
        <f aca="false">IF($A42="","",IF(WEEKDAY($A42,2)&lt;&gt;7,"",IF(AND(OR(AK42="",N(AK42)&gt;=$A42+16/24,N(AL42)&lt;=$A42+6/24),OR(AM42="",N(AM42)&lt;=$A42+6/24)),1,0)))</f>
        <v>1</v>
      </c>
      <c r="AR42" s="26" t="str">
        <f aca="false">IF($A42="","",IF(INDEX(Muster!$C$10:$BF$10,1,MOD($A42-Einstellungen!$C$6,Einstellungen!$C$7)+1)="","-",INDEX(Muster!$C$10:$BF$10,1,MOD($A42-Einstellungen!$C$6,Einstellungen!$C$7)+1)))</f>
        <v>-</v>
      </c>
      <c r="AS42" s="27" t="n">
        <f aca="false">IF($A42="","",IFERROR(VLOOKUP(AR42,Schichten!$A$5:$G$24,6,FALSE()),0))</f>
        <v>0</v>
      </c>
      <c r="AT42" s="27" t="n">
        <f aca="false">IF($A42="","",IFERROR(VLOOKUP(AR42,Schichten!$A$5:$G$24,7,FALSE()),0))</f>
        <v>0</v>
      </c>
      <c r="AU42" s="28" t="str">
        <f aca="false">IF($A42="","",IF(N(AS42)=0,"",$A42+VLOOKUP(AR42,Schichten!$A$5:$G$24,3,FALSE())))</f>
        <v/>
      </c>
      <c r="AV42" s="28" t="str">
        <f aca="false">IF(AU42="","",$A42+VLOOKUP(AR42,Schichten!$A$5:$G$24,4,FALSE())+IF(VLOOKUP(AR42,Schichten!$A$5:$G$24,4,FALSE())&lt;=VLOOKUP(AR42,Schichten!$A$5:$G$24,3,FALSE()),1,0))</f>
        <v/>
      </c>
      <c r="AW42" s="28" t="str">
        <f aca="false">IF($A42="","",IF(N(AS41)&gt;0,AV41,AW41))</f>
        <v/>
      </c>
      <c r="AX42" s="27" t="str">
        <f aca="false">IF(OR(AU42="",AW42=""),"",(AU42-AW42)*24)</f>
        <v/>
      </c>
      <c r="AY42" s="21" t="n">
        <f aca="false">IF($A42="","",IF(N(AS42)&gt;0,N(AY41)+1,0))</f>
        <v>0</v>
      </c>
      <c r="AZ42" s="21" t="n">
        <f aca="false">IF($A42="","",IF(N(AT42)&gt;0,N(AZ41)+1,0))</f>
        <v>0</v>
      </c>
      <c r="BA42" s="21" t="n">
        <f aca="false">IF($A42="","",IF(WEEKDAY($A42,2)&lt;&gt;7,"",IF(AND(OR(AU42="",N(AU42)&gt;=$A42+16/24,N(AV42)&lt;=$A42+6/24),OR(AW42="",N(AW42)&lt;=$A42+6/24)),1,0)))</f>
        <v>1</v>
      </c>
    </row>
    <row r="43" customFormat="false" ht="15" hidden="false" customHeight="false" outlineLevel="0" collapsed="false">
      <c r="A43" s="25" t="n">
        <f aca="false">IF(YEAR(DATE(Einstellungen!$C$4,1,1)+38)=Einstellungen!$C$4,DATE(Einstellungen!$C$4,1,1)+38,"")</f>
        <v>46426</v>
      </c>
      <c r="B43" s="26" t="str">
        <f aca="false">IF($A43="","",CHOOSE(WEEKDAY($A43,2),"Mo","Di","Mi","Do","Fr","Sa","So"))</f>
        <v>Mo</v>
      </c>
      <c r="C43" s="26" t="n">
        <f aca="false">IF($A43="","",MONTH($A43))</f>
        <v>2</v>
      </c>
      <c r="D43" s="26" t="str">
        <f aca="false">IF($A43="","",IF(INDEX(Muster!$C$6:$BF$6,1,MOD($A43-Einstellungen!$C$6,Einstellungen!$C$7)+1)="","-",INDEX(Muster!$C$6:$BF$6,1,MOD($A43-Einstellungen!$C$6,Einstellungen!$C$7)+1)))</f>
        <v>S</v>
      </c>
      <c r="E43" s="27" t="n">
        <f aca="false">IF($A43="","",IFERROR(VLOOKUP(D43,Schichten!$A$5:$G$24,6,FALSE()),0))</f>
        <v>8</v>
      </c>
      <c r="F43" s="27" t="n">
        <f aca="false">IF($A43="","",IFERROR(VLOOKUP(D43,Schichten!$A$5:$G$24,7,FALSE()),0))</f>
        <v>0</v>
      </c>
      <c r="G43" s="28" t="n">
        <f aca="false">IF($A43="","",IF(N(E43)=0,"",$A43+VLOOKUP(D43,Schichten!$A$5:$G$24,3,FALSE())))</f>
        <v>46426.5833333333</v>
      </c>
      <c r="H43" s="28" t="n">
        <f aca="false">IF(G43="","",$A43+VLOOKUP(D43,Schichten!$A$5:$G$24,4,FALSE())+IF(VLOOKUP(D43,Schichten!$A$5:$G$24,4,FALSE())&lt;=VLOOKUP(D43,Schichten!$A$5:$G$24,3,FALSE()),1,0))</f>
        <v>46426.9166666667</v>
      </c>
      <c r="I43" s="28" t="n">
        <f aca="false">IF($A43="","",IF(N(E42)&gt;0,H42,I42))</f>
        <v>46425.9166666667</v>
      </c>
      <c r="J43" s="27" t="n">
        <f aca="false">IF(OR(G43="",I43=""),"",(G43-I43)*24)</f>
        <v>16</v>
      </c>
      <c r="K43" s="21" t="n">
        <f aca="false">IF($A43="","",IF(N(E43)&gt;0,N(K42)+1,0))</f>
        <v>4</v>
      </c>
      <c r="L43" s="21" t="n">
        <f aca="false">IF($A43="","",IF(N(F43)&gt;0,N(L42)+1,0))</f>
        <v>0</v>
      </c>
      <c r="M43" s="21" t="str">
        <f aca="false">IF($A43="","",IF(WEEKDAY($A43,2)&lt;&gt;7,"",IF(AND(OR(G43="",N(G43)&gt;=$A43+16/24,N(H43)&lt;=$A43+6/24),OR(I43="",N(I43)&lt;=$A43+6/24)),1,0)))</f>
        <v/>
      </c>
      <c r="N43" s="26" t="str">
        <f aca="false">IF($A43="","",IF(INDEX(Muster!$C$7:$BF$7,1,MOD($A43-Einstellungen!$C$6,Einstellungen!$C$7)+1)="","-",INDEX(Muster!$C$7:$BF$7,1,MOD($A43-Einstellungen!$C$6,Einstellungen!$C$7)+1)))</f>
        <v>F</v>
      </c>
      <c r="O43" s="27" t="n">
        <f aca="false">IF($A43="","",IFERROR(VLOOKUP(N43,Schichten!$A$5:$G$24,6,FALSE()),0))</f>
        <v>8</v>
      </c>
      <c r="P43" s="27" t="n">
        <f aca="false">IF($A43="","",IFERROR(VLOOKUP(N43,Schichten!$A$5:$G$24,7,FALSE()),0))</f>
        <v>0</v>
      </c>
      <c r="Q43" s="28" t="n">
        <f aca="false">IF($A43="","",IF(N(O43)=0,"",$A43+VLOOKUP(N43,Schichten!$A$5:$G$24,3,FALSE())))</f>
        <v>46426.25</v>
      </c>
      <c r="R43" s="28" t="n">
        <f aca="false">IF(Q43="","",$A43+VLOOKUP(N43,Schichten!$A$5:$G$24,4,FALSE())+IF(VLOOKUP(N43,Schichten!$A$5:$G$24,4,FALSE())&lt;=VLOOKUP(N43,Schichten!$A$5:$G$24,3,FALSE()),1,0))</f>
        <v>46426.5833333333</v>
      </c>
      <c r="S43" s="28" t="n">
        <f aca="false">IF($A43="","",IF(N(O42)&gt;0,R42,S42))</f>
        <v>46425.5833333333</v>
      </c>
      <c r="T43" s="27" t="n">
        <f aca="false">IF(OR(Q43="",S43=""),"",(Q43-S43)*24)</f>
        <v>16</v>
      </c>
      <c r="U43" s="21" t="n">
        <f aca="false">IF($A43="","",IF(N(O43)&gt;0,N(U42)+1,0))</f>
        <v>2</v>
      </c>
      <c r="V43" s="21" t="n">
        <f aca="false">IF($A43="","",IF(N(P43)&gt;0,N(V42)+1,0))</f>
        <v>0</v>
      </c>
      <c r="W43" s="21" t="str">
        <f aca="false">IF($A43="","",IF(WEEKDAY($A43,2)&lt;&gt;7,"",IF(AND(OR(Q43="",N(Q43)&gt;=$A43+16/24,N(R43)&lt;=$A43+6/24),OR(S43="",N(S43)&lt;=$A43+6/24)),1,0)))</f>
        <v/>
      </c>
      <c r="X43" s="26" t="str">
        <f aca="false">IF($A43="","",IF(INDEX(Muster!$C$8:$BF$8,1,MOD($A43-Einstellungen!$C$6,Einstellungen!$C$7)+1)="","-",INDEX(Muster!$C$8:$BF$8,1,MOD($A43-Einstellungen!$C$6,Einstellungen!$C$7)+1)))</f>
        <v>-</v>
      </c>
      <c r="Y43" s="27" t="n">
        <f aca="false">IF($A43="","",IFERROR(VLOOKUP(X43,Schichten!$A$5:$G$24,6,FALSE()),0))</f>
        <v>0</v>
      </c>
      <c r="Z43" s="27" t="n">
        <f aca="false">IF($A43="","",IFERROR(VLOOKUP(X43,Schichten!$A$5:$G$24,7,FALSE()),0))</f>
        <v>0</v>
      </c>
      <c r="AA43" s="28" t="str">
        <f aca="false">IF($A43="","",IF(N(Y43)=0,"",$A43+VLOOKUP(X43,Schichten!$A$5:$G$24,3,FALSE())))</f>
        <v/>
      </c>
      <c r="AB43" s="28" t="str">
        <f aca="false">IF(AA43="","",$A43+VLOOKUP(X43,Schichten!$A$5:$G$24,4,FALSE())+IF(VLOOKUP(X43,Schichten!$A$5:$G$24,4,FALSE())&lt;=VLOOKUP(X43,Schichten!$A$5:$G$24,3,FALSE()),1,0))</f>
        <v/>
      </c>
      <c r="AC43" s="28" t="n">
        <f aca="false">IF($A43="","",IF(N(Y42)&gt;0,AB42,AC42))</f>
        <v>46425.25</v>
      </c>
      <c r="AD43" s="27" t="str">
        <f aca="false">IF(OR(AA43="",AC43=""),"",(AA43-AC43)*24)</f>
        <v/>
      </c>
      <c r="AE43" s="21" t="n">
        <f aca="false">IF($A43="","",IF(N(Y43)&gt;0,N(AE42)+1,0))</f>
        <v>0</v>
      </c>
      <c r="AF43" s="21" t="n">
        <f aca="false">IF($A43="","",IF(N(Z43)&gt;0,N(AF42)+1,0))</f>
        <v>0</v>
      </c>
      <c r="AG43" s="21" t="str">
        <f aca="false">IF($A43="","",IF(WEEKDAY($A43,2)&lt;&gt;7,"",IF(AND(OR(AA43="",N(AA43)&gt;=$A43+16/24,N(AB43)&lt;=$A43+6/24),OR(AC43="",N(AC43)&lt;=$A43+6/24)),1,0)))</f>
        <v/>
      </c>
      <c r="AH43" s="26" t="str">
        <f aca="false">IF($A43="","",IF(INDEX(Muster!$C$9:$BF$9,1,MOD($A43-Einstellungen!$C$6,Einstellungen!$C$7)+1)="","-",INDEX(Muster!$C$9:$BF$9,1,MOD($A43-Einstellungen!$C$6,Einstellungen!$C$7)+1)))</f>
        <v>N</v>
      </c>
      <c r="AI43" s="27" t="n">
        <f aca="false">IF($A43="","",IFERROR(VLOOKUP(AH43,Schichten!$A$5:$G$24,6,FALSE()),0))</f>
        <v>8</v>
      </c>
      <c r="AJ43" s="27" t="n">
        <f aca="false">IF($A43="","",IFERROR(VLOOKUP(AH43,Schichten!$A$5:$G$24,7,FALSE()),0))</f>
        <v>7</v>
      </c>
      <c r="AK43" s="28" t="n">
        <f aca="false">IF($A43="","",IF(N(AI43)=0,"",$A43+VLOOKUP(AH43,Schichten!$A$5:$G$24,3,FALSE())))</f>
        <v>46426.9166666667</v>
      </c>
      <c r="AL43" s="28" t="n">
        <f aca="false">IF(AK43="","",$A43+VLOOKUP(AH43,Schichten!$A$5:$G$24,4,FALSE())+IF(VLOOKUP(AH43,Schichten!$A$5:$G$24,4,FALSE())&lt;=VLOOKUP(AH43,Schichten!$A$5:$G$24,3,FALSE()),1,0))</f>
        <v>46427.25</v>
      </c>
      <c r="AM43" s="28" t="n">
        <f aca="false">IF($A43="","",IF(N(AI42)&gt;0,AL42,AM42))</f>
        <v>46426.25</v>
      </c>
      <c r="AN43" s="27" t="n">
        <f aca="false">IF(OR(AK43="",AM43=""),"",(AK43-AM43)*24)</f>
        <v>16</v>
      </c>
      <c r="AO43" s="21" t="n">
        <f aca="false">IF($A43="","",IF(N(AI43)&gt;0,N(AO42)+1,0))</f>
        <v>6</v>
      </c>
      <c r="AP43" s="21" t="n">
        <f aca="false">IF($A43="","",IF(N(AJ43)&gt;0,N(AP42)+1,0))</f>
        <v>2</v>
      </c>
      <c r="AQ43" s="21" t="str">
        <f aca="false">IF($A43="","",IF(WEEKDAY($A43,2)&lt;&gt;7,"",IF(AND(OR(AK43="",N(AK43)&gt;=$A43+16/24,N(AL43)&lt;=$A43+6/24),OR(AM43="",N(AM43)&lt;=$A43+6/24)),1,0)))</f>
        <v/>
      </c>
      <c r="AR43" s="26" t="str">
        <f aca="false">IF($A43="","",IF(INDEX(Muster!$C$10:$BF$10,1,MOD($A43-Einstellungen!$C$6,Einstellungen!$C$7)+1)="","-",INDEX(Muster!$C$10:$BF$10,1,MOD($A43-Einstellungen!$C$6,Einstellungen!$C$7)+1)))</f>
        <v>-</v>
      </c>
      <c r="AS43" s="27" t="n">
        <f aca="false">IF($A43="","",IFERROR(VLOOKUP(AR43,Schichten!$A$5:$G$24,6,FALSE()),0))</f>
        <v>0</v>
      </c>
      <c r="AT43" s="27" t="n">
        <f aca="false">IF($A43="","",IFERROR(VLOOKUP(AR43,Schichten!$A$5:$G$24,7,FALSE()),0))</f>
        <v>0</v>
      </c>
      <c r="AU43" s="28" t="str">
        <f aca="false">IF($A43="","",IF(N(AS43)=0,"",$A43+VLOOKUP(AR43,Schichten!$A$5:$G$24,3,FALSE())))</f>
        <v/>
      </c>
      <c r="AV43" s="28" t="str">
        <f aca="false">IF(AU43="","",$A43+VLOOKUP(AR43,Schichten!$A$5:$G$24,4,FALSE())+IF(VLOOKUP(AR43,Schichten!$A$5:$G$24,4,FALSE())&lt;=VLOOKUP(AR43,Schichten!$A$5:$G$24,3,FALSE()),1,0))</f>
        <v/>
      </c>
      <c r="AW43" s="28" t="str">
        <f aca="false">IF($A43="","",IF(N(AS42)&gt;0,AV42,AW42))</f>
        <v/>
      </c>
      <c r="AX43" s="27" t="str">
        <f aca="false">IF(OR(AU43="",AW43=""),"",(AU43-AW43)*24)</f>
        <v/>
      </c>
      <c r="AY43" s="21" t="n">
        <f aca="false">IF($A43="","",IF(N(AS43)&gt;0,N(AY42)+1,0))</f>
        <v>0</v>
      </c>
      <c r="AZ43" s="21" t="n">
        <f aca="false">IF($A43="","",IF(N(AT43)&gt;0,N(AZ42)+1,0))</f>
        <v>0</v>
      </c>
      <c r="BA43" s="21" t="str">
        <f aca="false">IF($A43="","",IF(WEEKDAY($A43,2)&lt;&gt;7,"",IF(AND(OR(AU43="",N(AU43)&gt;=$A43+16/24,N(AV43)&lt;=$A43+6/24),OR(AW43="",N(AW43)&lt;=$A43+6/24)),1,0)))</f>
        <v/>
      </c>
    </row>
    <row r="44" customFormat="false" ht="15" hidden="false" customHeight="false" outlineLevel="0" collapsed="false">
      <c r="A44" s="25" t="n">
        <f aca="false">IF(YEAR(DATE(Einstellungen!$C$4,1,1)+39)=Einstellungen!$C$4,DATE(Einstellungen!$C$4,1,1)+39,"")</f>
        <v>46427</v>
      </c>
      <c r="B44" s="26" t="str">
        <f aca="false">IF($A44="","",CHOOSE(WEEKDAY($A44,2),"Mo","Di","Mi","Do","Fr","Sa","So"))</f>
        <v>Di</v>
      </c>
      <c r="C44" s="26" t="n">
        <f aca="false">IF($A44="","",MONTH($A44))</f>
        <v>2</v>
      </c>
      <c r="D44" s="26" t="str">
        <f aca="false">IF($A44="","",IF(INDEX(Muster!$C$6:$BF$6,1,MOD($A44-Einstellungen!$C$6,Einstellungen!$C$7)+1)="","-",INDEX(Muster!$C$6:$BF$6,1,MOD($A44-Einstellungen!$C$6,Einstellungen!$C$7)+1)))</f>
        <v>N</v>
      </c>
      <c r="E44" s="27" t="n">
        <f aca="false">IF($A44="","",IFERROR(VLOOKUP(D44,Schichten!$A$5:$G$24,6,FALSE()),0))</f>
        <v>8</v>
      </c>
      <c r="F44" s="27" t="n">
        <f aca="false">IF($A44="","",IFERROR(VLOOKUP(D44,Schichten!$A$5:$G$24,7,FALSE()),0))</f>
        <v>7</v>
      </c>
      <c r="G44" s="28" t="n">
        <f aca="false">IF($A44="","",IF(N(E44)=0,"",$A44+VLOOKUP(D44,Schichten!$A$5:$G$24,3,FALSE())))</f>
        <v>46427.9166666667</v>
      </c>
      <c r="H44" s="28" t="n">
        <f aca="false">IF(G44="","",$A44+VLOOKUP(D44,Schichten!$A$5:$G$24,4,FALSE())+IF(VLOOKUP(D44,Schichten!$A$5:$G$24,4,FALSE())&lt;=VLOOKUP(D44,Schichten!$A$5:$G$24,3,FALSE()),1,0))</f>
        <v>46428.25</v>
      </c>
      <c r="I44" s="28" t="n">
        <f aca="false">IF($A44="","",IF(N(E43)&gt;0,H43,I43))</f>
        <v>46426.9166666667</v>
      </c>
      <c r="J44" s="27" t="n">
        <f aca="false">IF(OR(G44="",I44=""),"",(G44-I44)*24)</f>
        <v>24</v>
      </c>
      <c r="K44" s="21" t="n">
        <f aca="false">IF($A44="","",IF(N(E44)&gt;0,N(K43)+1,0))</f>
        <v>5</v>
      </c>
      <c r="L44" s="21" t="n">
        <f aca="false">IF($A44="","",IF(N(F44)&gt;0,N(L43)+1,0))</f>
        <v>1</v>
      </c>
      <c r="M44" s="21" t="str">
        <f aca="false">IF($A44="","",IF(WEEKDAY($A44,2)&lt;&gt;7,"",IF(AND(OR(G44="",N(G44)&gt;=$A44+16/24,N(H44)&lt;=$A44+6/24),OR(I44="",N(I44)&lt;=$A44+6/24)),1,0)))</f>
        <v/>
      </c>
      <c r="N44" s="26" t="str">
        <f aca="false">IF($A44="","",IF(INDEX(Muster!$C$7:$BF$7,1,MOD($A44-Einstellungen!$C$6,Einstellungen!$C$7)+1)="","-",INDEX(Muster!$C$7:$BF$7,1,MOD($A44-Einstellungen!$C$6,Einstellungen!$C$7)+1)))</f>
        <v>S</v>
      </c>
      <c r="O44" s="27" t="n">
        <f aca="false">IF($A44="","",IFERROR(VLOOKUP(N44,Schichten!$A$5:$G$24,6,FALSE()),0))</f>
        <v>8</v>
      </c>
      <c r="P44" s="27" t="n">
        <f aca="false">IF($A44="","",IFERROR(VLOOKUP(N44,Schichten!$A$5:$G$24,7,FALSE()),0))</f>
        <v>0</v>
      </c>
      <c r="Q44" s="28" t="n">
        <f aca="false">IF($A44="","",IF(N(O44)=0,"",$A44+VLOOKUP(N44,Schichten!$A$5:$G$24,3,FALSE())))</f>
        <v>46427.5833333333</v>
      </c>
      <c r="R44" s="28" t="n">
        <f aca="false">IF(Q44="","",$A44+VLOOKUP(N44,Schichten!$A$5:$G$24,4,FALSE())+IF(VLOOKUP(N44,Schichten!$A$5:$G$24,4,FALSE())&lt;=VLOOKUP(N44,Schichten!$A$5:$G$24,3,FALSE()),1,0))</f>
        <v>46427.9166666667</v>
      </c>
      <c r="S44" s="28" t="n">
        <f aca="false">IF($A44="","",IF(N(O43)&gt;0,R43,S43))</f>
        <v>46426.5833333333</v>
      </c>
      <c r="T44" s="27" t="n">
        <f aca="false">IF(OR(Q44="",S44=""),"",(Q44-S44)*24)</f>
        <v>24</v>
      </c>
      <c r="U44" s="21" t="n">
        <f aca="false">IF($A44="","",IF(N(O44)&gt;0,N(U43)+1,0))</f>
        <v>3</v>
      </c>
      <c r="V44" s="21" t="n">
        <f aca="false">IF($A44="","",IF(N(P44)&gt;0,N(V43)+1,0))</f>
        <v>0</v>
      </c>
      <c r="W44" s="21" t="str">
        <f aca="false">IF($A44="","",IF(WEEKDAY($A44,2)&lt;&gt;7,"",IF(AND(OR(Q44="",N(Q44)&gt;=$A44+16/24,N(R44)&lt;=$A44+6/24),OR(S44="",N(S44)&lt;=$A44+6/24)),1,0)))</f>
        <v/>
      </c>
      <c r="X44" s="26" t="str">
        <f aca="false">IF($A44="","",IF(INDEX(Muster!$C$8:$BF$8,1,MOD($A44-Einstellungen!$C$6,Einstellungen!$C$7)+1)="","-",INDEX(Muster!$C$8:$BF$8,1,MOD($A44-Einstellungen!$C$6,Einstellungen!$C$7)+1)))</f>
        <v>F</v>
      </c>
      <c r="Y44" s="27" t="n">
        <f aca="false">IF($A44="","",IFERROR(VLOOKUP(X44,Schichten!$A$5:$G$24,6,FALSE()),0))</f>
        <v>8</v>
      </c>
      <c r="Z44" s="27" t="n">
        <f aca="false">IF($A44="","",IFERROR(VLOOKUP(X44,Schichten!$A$5:$G$24,7,FALSE()),0))</f>
        <v>0</v>
      </c>
      <c r="AA44" s="28" t="n">
        <f aca="false">IF($A44="","",IF(N(Y44)=0,"",$A44+VLOOKUP(X44,Schichten!$A$5:$G$24,3,FALSE())))</f>
        <v>46427.25</v>
      </c>
      <c r="AB44" s="28" t="n">
        <f aca="false">IF(AA44="","",$A44+VLOOKUP(X44,Schichten!$A$5:$G$24,4,FALSE())+IF(VLOOKUP(X44,Schichten!$A$5:$G$24,4,FALSE())&lt;=VLOOKUP(X44,Schichten!$A$5:$G$24,3,FALSE()),1,0))</f>
        <v>46427.5833333333</v>
      </c>
      <c r="AC44" s="28" t="n">
        <f aca="false">IF($A44="","",IF(N(Y43)&gt;0,AB43,AC43))</f>
        <v>46425.25</v>
      </c>
      <c r="AD44" s="27" t="n">
        <f aca="false">IF(OR(AA44="",AC44=""),"",(AA44-AC44)*24)</f>
        <v>48</v>
      </c>
      <c r="AE44" s="21" t="n">
        <f aca="false">IF($A44="","",IF(N(Y44)&gt;0,N(AE43)+1,0))</f>
        <v>1</v>
      </c>
      <c r="AF44" s="21" t="n">
        <f aca="false">IF($A44="","",IF(N(Z44)&gt;0,N(AF43)+1,0))</f>
        <v>0</v>
      </c>
      <c r="AG44" s="21" t="str">
        <f aca="false">IF($A44="","",IF(WEEKDAY($A44,2)&lt;&gt;7,"",IF(AND(OR(AA44="",N(AA44)&gt;=$A44+16/24,N(AB44)&lt;=$A44+6/24),OR(AC44="",N(AC44)&lt;=$A44+6/24)),1,0)))</f>
        <v/>
      </c>
      <c r="AH44" s="26" t="str">
        <f aca="false">IF($A44="","",IF(INDEX(Muster!$C$9:$BF$9,1,MOD($A44-Einstellungen!$C$6,Einstellungen!$C$7)+1)="","-",INDEX(Muster!$C$9:$BF$9,1,MOD($A44-Einstellungen!$C$6,Einstellungen!$C$7)+1)))</f>
        <v>-</v>
      </c>
      <c r="AI44" s="27" t="n">
        <f aca="false">IF($A44="","",IFERROR(VLOOKUP(AH44,Schichten!$A$5:$G$24,6,FALSE()),0))</f>
        <v>0</v>
      </c>
      <c r="AJ44" s="27" t="n">
        <f aca="false">IF($A44="","",IFERROR(VLOOKUP(AH44,Schichten!$A$5:$G$24,7,FALSE()),0))</f>
        <v>0</v>
      </c>
      <c r="AK44" s="28" t="str">
        <f aca="false">IF($A44="","",IF(N(AI44)=0,"",$A44+VLOOKUP(AH44,Schichten!$A$5:$G$24,3,FALSE())))</f>
        <v/>
      </c>
      <c r="AL44" s="28" t="str">
        <f aca="false">IF(AK44="","",$A44+VLOOKUP(AH44,Schichten!$A$5:$G$24,4,FALSE())+IF(VLOOKUP(AH44,Schichten!$A$5:$G$24,4,FALSE())&lt;=VLOOKUP(AH44,Schichten!$A$5:$G$24,3,FALSE()),1,0))</f>
        <v/>
      </c>
      <c r="AM44" s="28" t="n">
        <f aca="false">IF($A44="","",IF(N(AI43)&gt;0,AL43,AM43))</f>
        <v>46427.25</v>
      </c>
      <c r="AN44" s="27" t="str">
        <f aca="false">IF(OR(AK44="",AM44=""),"",(AK44-AM44)*24)</f>
        <v/>
      </c>
      <c r="AO44" s="21" t="n">
        <f aca="false">IF($A44="","",IF(N(AI44)&gt;0,N(AO43)+1,0))</f>
        <v>0</v>
      </c>
      <c r="AP44" s="21" t="n">
        <f aca="false">IF($A44="","",IF(N(AJ44)&gt;0,N(AP43)+1,0))</f>
        <v>0</v>
      </c>
      <c r="AQ44" s="21" t="str">
        <f aca="false">IF($A44="","",IF(WEEKDAY($A44,2)&lt;&gt;7,"",IF(AND(OR(AK44="",N(AK44)&gt;=$A44+16/24,N(AL44)&lt;=$A44+6/24),OR(AM44="",N(AM44)&lt;=$A44+6/24)),1,0)))</f>
        <v/>
      </c>
      <c r="AR44" s="26" t="str">
        <f aca="false">IF($A44="","",IF(INDEX(Muster!$C$10:$BF$10,1,MOD($A44-Einstellungen!$C$6,Einstellungen!$C$7)+1)="","-",INDEX(Muster!$C$10:$BF$10,1,MOD($A44-Einstellungen!$C$6,Einstellungen!$C$7)+1)))</f>
        <v>-</v>
      </c>
      <c r="AS44" s="27" t="n">
        <f aca="false">IF($A44="","",IFERROR(VLOOKUP(AR44,Schichten!$A$5:$G$24,6,FALSE()),0))</f>
        <v>0</v>
      </c>
      <c r="AT44" s="27" t="n">
        <f aca="false">IF($A44="","",IFERROR(VLOOKUP(AR44,Schichten!$A$5:$G$24,7,FALSE()),0))</f>
        <v>0</v>
      </c>
      <c r="AU44" s="28" t="str">
        <f aca="false">IF($A44="","",IF(N(AS44)=0,"",$A44+VLOOKUP(AR44,Schichten!$A$5:$G$24,3,FALSE())))</f>
        <v/>
      </c>
      <c r="AV44" s="28" t="str">
        <f aca="false">IF(AU44="","",$A44+VLOOKUP(AR44,Schichten!$A$5:$G$24,4,FALSE())+IF(VLOOKUP(AR44,Schichten!$A$5:$G$24,4,FALSE())&lt;=VLOOKUP(AR44,Schichten!$A$5:$G$24,3,FALSE()),1,0))</f>
        <v/>
      </c>
      <c r="AW44" s="28" t="str">
        <f aca="false">IF($A44="","",IF(N(AS43)&gt;0,AV43,AW43))</f>
        <v/>
      </c>
      <c r="AX44" s="27" t="str">
        <f aca="false">IF(OR(AU44="",AW44=""),"",(AU44-AW44)*24)</f>
        <v/>
      </c>
      <c r="AY44" s="21" t="n">
        <f aca="false">IF($A44="","",IF(N(AS44)&gt;0,N(AY43)+1,0))</f>
        <v>0</v>
      </c>
      <c r="AZ44" s="21" t="n">
        <f aca="false">IF($A44="","",IF(N(AT44)&gt;0,N(AZ43)+1,0))</f>
        <v>0</v>
      </c>
      <c r="BA44" s="21" t="str">
        <f aca="false">IF($A44="","",IF(WEEKDAY($A44,2)&lt;&gt;7,"",IF(AND(OR(AU44="",N(AU44)&gt;=$A44+16/24,N(AV44)&lt;=$A44+6/24),OR(AW44="",N(AW44)&lt;=$A44+6/24)),1,0)))</f>
        <v/>
      </c>
    </row>
    <row r="45" customFormat="false" ht="15" hidden="false" customHeight="false" outlineLevel="0" collapsed="false">
      <c r="A45" s="25" t="n">
        <f aca="false">IF(YEAR(DATE(Einstellungen!$C$4,1,1)+40)=Einstellungen!$C$4,DATE(Einstellungen!$C$4,1,1)+40,"")</f>
        <v>46428</v>
      </c>
      <c r="B45" s="26" t="str">
        <f aca="false">IF($A45="","",CHOOSE(WEEKDAY($A45,2),"Mo","Di","Mi","Do","Fr","Sa","So"))</f>
        <v>Mi</v>
      </c>
      <c r="C45" s="26" t="n">
        <f aca="false">IF($A45="","",MONTH($A45))</f>
        <v>2</v>
      </c>
      <c r="D45" s="26" t="str">
        <f aca="false">IF($A45="","",IF(INDEX(Muster!$C$6:$BF$6,1,MOD($A45-Einstellungen!$C$6,Einstellungen!$C$7)+1)="","-",INDEX(Muster!$C$6:$BF$6,1,MOD($A45-Einstellungen!$C$6,Einstellungen!$C$7)+1)))</f>
        <v>N</v>
      </c>
      <c r="E45" s="27" t="n">
        <f aca="false">IF($A45="","",IFERROR(VLOOKUP(D45,Schichten!$A$5:$G$24,6,FALSE()),0))</f>
        <v>8</v>
      </c>
      <c r="F45" s="27" t="n">
        <f aca="false">IF($A45="","",IFERROR(VLOOKUP(D45,Schichten!$A$5:$G$24,7,FALSE()),0))</f>
        <v>7</v>
      </c>
      <c r="G45" s="28" t="n">
        <f aca="false">IF($A45="","",IF(N(E45)=0,"",$A45+VLOOKUP(D45,Schichten!$A$5:$G$24,3,FALSE())))</f>
        <v>46428.9166666667</v>
      </c>
      <c r="H45" s="28" t="n">
        <f aca="false">IF(G45="","",$A45+VLOOKUP(D45,Schichten!$A$5:$G$24,4,FALSE())+IF(VLOOKUP(D45,Schichten!$A$5:$G$24,4,FALSE())&lt;=VLOOKUP(D45,Schichten!$A$5:$G$24,3,FALSE()),1,0))</f>
        <v>46429.25</v>
      </c>
      <c r="I45" s="28" t="n">
        <f aca="false">IF($A45="","",IF(N(E44)&gt;0,H44,I44))</f>
        <v>46428.25</v>
      </c>
      <c r="J45" s="27" t="n">
        <f aca="false">IF(OR(G45="",I45=""),"",(G45-I45)*24)</f>
        <v>16</v>
      </c>
      <c r="K45" s="21" t="n">
        <f aca="false">IF($A45="","",IF(N(E45)&gt;0,N(K44)+1,0))</f>
        <v>6</v>
      </c>
      <c r="L45" s="21" t="n">
        <f aca="false">IF($A45="","",IF(N(F45)&gt;0,N(L44)+1,0))</f>
        <v>2</v>
      </c>
      <c r="M45" s="21" t="str">
        <f aca="false">IF($A45="","",IF(WEEKDAY($A45,2)&lt;&gt;7,"",IF(AND(OR(G45="",N(G45)&gt;=$A45+16/24,N(H45)&lt;=$A45+6/24),OR(I45="",N(I45)&lt;=$A45+6/24)),1,0)))</f>
        <v/>
      </c>
      <c r="N45" s="26" t="str">
        <f aca="false">IF($A45="","",IF(INDEX(Muster!$C$7:$BF$7,1,MOD($A45-Einstellungen!$C$6,Einstellungen!$C$7)+1)="","-",INDEX(Muster!$C$7:$BF$7,1,MOD($A45-Einstellungen!$C$6,Einstellungen!$C$7)+1)))</f>
        <v>S</v>
      </c>
      <c r="O45" s="27" t="n">
        <f aca="false">IF($A45="","",IFERROR(VLOOKUP(N45,Schichten!$A$5:$G$24,6,FALSE()),0))</f>
        <v>8</v>
      </c>
      <c r="P45" s="27" t="n">
        <f aca="false">IF($A45="","",IFERROR(VLOOKUP(N45,Schichten!$A$5:$G$24,7,FALSE()),0))</f>
        <v>0</v>
      </c>
      <c r="Q45" s="28" t="n">
        <f aca="false">IF($A45="","",IF(N(O45)=0,"",$A45+VLOOKUP(N45,Schichten!$A$5:$G$24,3,FALSE())))</f>
        <v>46428.5833333333</v>
      </c>
      <c r="R45" s="28" t="n">
        <f aca="false">IF(Q45="","",$A45+VLOOKUP(N45,Schichten!$A$5:$G$24,4,FALSE())+IF(VLOOKUP(N45,Schichten!$A$5:$G$24,4,FALSE())&lt;=VLOOKUP(N45,Schichten!$A$5:$G$24,3,FALSE()),1,0))</f>
        <v>46428.9166666667</v>
      </c>
      <c r="S45" s="28" t="n">
        <f aca="false">IF($A45="","",IF(N(O44)&gt;0,R44,S44))</f>
        <v>46427.9166666667</v>
      </c>
      <c r="T45" s="27" t="n">
        <f aca="false">IF(OR(Q45="",S45=""),"",(Q45-S45)*24)</f>
        <v>16</v>
      </c>
      <c r="U45" s="21" t="n">
        <f aca="false">IF($A45="","",IF(N(O45)&gt;0,N(U44)+1,0))</f>
        <v>4</v>
      </c>
      <c r="V45" s="21" t="n">
        <f aca="false">IF($A45="","",IF(N(P45)&gt;0,N(V44)+1,0))</f>
        <v>0</v>
      </c>
      <c r="W45" s="21" t="str">
        <f aca="false">IF($A45="","",IF(WEEKDAY($A45,2)&lt;&gt;7,"",IF(AND(OR(Q45="",N(Q45)&gt;=$A45+16/24,N(R45)&lt;=$A45+6/24),OR(S45="",N(S45)&lt;=$A45+6/24)),1,0)))</f>
        <v/>
      </c>
      <c r="X45" s="26" t="str">
        <f aca="false">IF($A45="","",IF(INDEX(Muster!$C$8:$BF$8,1,MOD($A45-Einstellungen!$C$6,Einstellungen!$C$7)+1)="","-",INDEX(Muster!$C$8:$BF$8,1,MOD($A45-Einstellungen!$C$6,Einstellungen!$C$7)+1)))</f>
        <v>F</v>
      </c>
      <c r="Y45" s="27" t="n">
        <f aca="false">IF($A45="","",IFERROR(VLOOKUP(X45,Schichten!$A$5:$G$24,6,FALSE()),0))</f>
        <v>8</v>
      </c>
      <c r="Z45" s="27" t="n">
        <f aca="false">IF($A45="","",IFERROR(VLOOKUP(X45,Schichten!$A$5:$G$24,7,FALSE()),0))</f>
        <v>0</v>
      </c>
      <c r="AA45" s="28" t="n">
        <f aca="false">IF($A45="","",IF(N(Y45)=0,"",$A45+VLOOKUP(X45,Schichten!$A$5:$G$24,3,FALSE())))</f>
        <v>46428.25</v>
      </c>
      <c r="AB45" s="28" t="n">
        <f aca="false">IF(AA45="","",$A45+VLOOKUP(X45,Schichten!$A$5:$G$24,4,FALSE())+IF(VLOOKUP(X45,Schichten!$A$5:$G$24,4,FALSE())&lt;=VLOOKUP(X45,Schichten!$A$5:$G$24,3,FALSE()),1,0))</f>
        <v>46428.5833333333</v>
      </c>
      <c r="AC45" s="28" t="n">
        <f aca="false">IF($A45="","",IF(N(Y44)&gt;0,AB44,AC44))</f>
        <v>46427.5833333333</v>
      </c>
      <c r="AD45" s="27" t="n">
        <f aca="false">IF(OR(AA45="",AC45=""),"",(AA45-AC45)*24)</f>
        <v>16</v>
      </c>
      <c r="AE45" s="21" t="n">
        <f aca="false">IF($A45="","",IF(N(Y45)&gt;0,N(AE44)+1,0))</f>
        <v>2</v>
      </c>
      <c r="AF45" s="21" t="n">
        <f aca="false">IF($A45="","",IF(N(Z45)&gt;0,N(AF44)+1,0))</f>
        <v>0</v>
      </c>
      <c r="AG45" s="21" t="str">
        <f aca="false">IF($A45="","",IF(WEEKDAY($A45,2)&lt;&gt;7,"",IF(AND(OR(AA45="",N(AA45)&gt;=$A45+16/24,N(AB45)&lt;=$A45+6/24),OR(AC45="",N(AC45)&lt;=$A45+6/24)),1,0)))</f>
        <v/>
      </c>
      <c r="AH45" s="26" t="str">
        <f aca="false">IF($A45="","",IF(INDEX(Muster!$C$9:$BF$9,1,MOD($A45-Einstellungen!$C$6,Einstellungen!$C$7)+1)="","-",INDEX(Muster!$C$9:$BF$9,1,MOD($A45-Einstellungen!$C$6,Einstellungen!$C$7)+1)))</f>
        <v>-</v>
      </c>
      <c r="AI45" s="27" t="n">
        <f aca="false">IF($A45="","",IFERROR(VLOOKUP(AH45,Schichten!$A$5:$G$24,6,FALSE()),0))</f>
        <v>0</v>
      </c>
      <c r="AJ45" s="27" t="n">
        <f aca="false">IF($A45="","",IFERROR(VLOOKUP(AH45,Schichten!$A$5:$G$24,7,FALSE()),0))</f>
        <v>0</v>
      </c>
      <c r="AK45" s="28" t="str">
        <f aca="false">IF($A45="","",IF(N(AI45)=0,"",$A45+VLOOKUP(AH45,Schichten!$A$5:$G$24,3,FALSE())))</f>
        <v/>
      </c>
      <c r="AL45" s="28" t="str">
        <f aca="false">IF(AK45="","",$A45+VLOOKUP(AH45,Schichten!$A$5:$G$24,4,FALSE())+IF(VLOOKUP(AH45,Schichten!$A$5:$G$24,4,FALSE())&lt;=VLOOKUP(AH45,Schichten!$A$5:$G$24,3,FALSE()),1,0))</f>
        <v/>
      </c>
      <c r="AM45" s="28" t="n">
        <f aca="false">IF($A45="","",IF(N(AI44)&gt;0,AL44,AM44))</f>
        <v>46427.25</v>
      </c>
      <c r="AN45" s="27" t="str">
        <f aca="false">IF(OR(AK45="",AM45=""),"",(AK45-AM45)*24)</f>
        <v/>
      </c>
      <c r="AO45" s="21" t="n">
        <f aca="false">IF($A45="","",IF(N(AI45)&gt;0,N(AO44)+1,0))</f>
        <v>0</v>
      </c>
      <c r="AP45" s="21" t="n">
        <f aca="false">IF($A45="","",IF(N(AJ45)&gt;0,N(AP44)+1,0))</f>
        <v>0</v>
      </c>
      <c r="AQ45" s="21" t="str">
        <f aca="false">IF($A45="","",IF(WEEKDAY($A45,2)&lt;&gt;7,"",IF(AND(OR(AK45="",N(AK45)&gt;=$A45+16/24,N(AL45)&lt;=$A45+6/24),OR(AM45="",N(AM45)&lt;=$A45+6/24)),1,0)))</f>
        <v/>
      </c>
      <c r="AR45" s="26" t="str">
        <f aca="false">IF($A45="","",IF(INDEX(Muster!$C$10:$BF$10,1,MOD($A45-Einstellungen!$C$6,Einstellungen!$C$7)+1)="","-",INDEX(Muster!$C$10:$BF$10,1,MOD($A45-Einstellungen!$C$6,Einstellungen!$C$7)+1)))</f>
        <v>-</v>
      </c>
      <c r="AS45" s="27" t="n">
        <f aca="false">IF($A45="","",IFERROR(VLOOKUP(AR45,Schichten!$A$5:$G$24,6,FALSE()),0))</f>
        <v>0</v>
      </c>
      <c r="AT45" s="27" t="n">
        <f aca="false">IF($A45="","",IFERROR(VLOOKUP(AR45,Schichten!$A$5:$G$24,7,FALSE()),0))</f>
        <v>0</v>
      </c>
      <c r="AU45" s="28" t="str">
        <f aca="false">IF($A45="","",IF(N(AS45)=0,"",$A45+VLOOKUP(AR45,Schichten!$A$5:$G$24,3,FALSE())))</f>
        <v/>
      </c>
      <c r="AV45" s="28" t="str">
        <f aca="false">IF(AU45="","",$A45+VLOOKUP(AR45,Schichten!$A$5:$G$24,4,FALSE())+IF(VLOOKUP(AR45,Schichten!$A$5:$G$24,4,FALSE())&lt;=VLOOKUP(AR45,Schichten!$A$5:$G$24,3,FALSE()),1,0))</f>
        <v/>
      </c>
      <c r="AW45" s="28" t="str">
        <f aca="false">IF($A45="","",IF(N(AS44)&gt;0,AV44,AW44))</f>
        <v/>
      </c>
      <c r="AX45" s="27" t="str">
        <f aca="false">IF(OR(AU45="",AW45=""),"",(AU45-AW45)*24)</f>
        <v/>
      </c>
      <c r="AY45" s="21" t="n">
        <f aca="false">IF($A45="","",IF(N(AS45)&gt;0,N(AY44)+1,0))</f>
        <v>0</v>
      </c>
      <c r="AZ45" s="21" t="n">
        <f aca="false">IF($A45="","",IF(N(AT45)&gt;0,N(AZ44)+1,0))</f>
        <v>0</v>
      </c>
      <c r="BA45" s="21" t="str">
        <f aca="false">IF($A45="","",IF(WEEKDAY($A45,2)&lt;&gt;7,"",IF(AND(OR(AU45="",N(AU45)&gt;=$A45+16/24,N(AV45)&lt;=$A45+6/24),OR(AW45="",N(AW45)&lt;=$A45+6/24)),1,0)))</f>
        <v/>
      </c>
    </row>
    <row r="46" customFormat="false" ht="15" hidden="false" customHeight="false" outlineLevel="0" collapsed="false">
      <c r="A46" s="25" t="n">
        <f aca="false">IF(YEAR(DATE(Einstellungen!$C$4,1,1)+41)=Einstellungen!$C$4,DATE(Einstellungen!$C$4,1,1)+41,"")</f>
        <v>46429</v>
      </c>
      <c r="B46" s="26" t="str">
        <f aca="false">IF($A46="","",CHOOSE(WEEKDAY($A46,2),"Mo","Di","Mi","Do","Fr","Sa","So"))</f>
        <v>Do</v>
      </c>
      <c r="C46" s="26" t="n">
        <f aca="false">IF($A46="","",MONTH($A46))</f>
        <v>2</v>
      </c>
      <c r="D46" s="26" t="str">
        <f aca="false">IF($A46="","",IF(INDEX(Muster!$C$6:$BF$6,1,MOD($A46-Einstellungen!$C$6,Einstellungen!$C$7)+1)="","-",INDEX(Muster!$C$6:$BF$6,1,MOD($A46-Einstellungen!$C$6,Einstellungen!$C$7)+1)))</f>
        <v>-</v>
      </c>
      <c r="E46" s="27" t="n">
        <f aca="false">IF($A46="","",IFERROR(VLOOKUP(D46,Schichten!$A$5:$G$24,6,FALSE()),0))</f>
        <v>0</v>
      </c>
      <c r="F46" s="27" t="n">
        <f aca="false">IF($A46="","",IFERROR(VLOOKUP(D46,Schichten!$A$5:$G$24,7,FALSE()),0))</f>
        <v>0</v>
      </c>
      <c r="G46" s="28" t="str">
        <f aca="false">IF($A46="","",IF(N(E46)=0,"",$A46+VLOOKUP(D46,Schichten!$A$5:$G$24,3,FALSE())))</f>
        <v/>
      </c>
      <c r="H46" s="28" t="str">
        <f aca="false">IF(G46="","",$A46+VLOOKUP(D46,Schichten!$A$5:$G$24,4,FALSE())+IF(VLOOKUP(D46,Schichten!$A$5:$G$24,4,FALSE())&lt;=VLOOKUP(D46,Schichten!$A$5:$G$24,3,FALSE()),1,0))</f>
        <v/>
      </c>
      <c r="I46" s="28" t="n">
        <f aca="false">IF($A46="","",IF(N(E45)&gt;0,H45,I45))</f>
        <v>46429.25</v>
      </c>
      <c r="J46" s="27" t="str">
        <f aca="false">IF(OR(G46="",I46=""),"",(G46-I46)*24)</f>
        <v/>
      </c>
      <c r="K46" s="21" t="n">
        <f aca="false">IF($A46="","",IF(N(E46)&gt;0,N(K45)+1,0))</f>
        <v>0</v>
      </c>
      <c r="L46" s="21" t="n">
        <f aca="false">IF($A46="","",IF(N(F46)&gt;0,N(L45)+1,0))</f>
        <v>0</v>
      </c>
      <c r="M46" s="21" t="str">
        <f aca="false">IF($A46="","",IF(WEEKDAY($A46,2)&lt;&gt;7,"",IF(AND(OR(G46="",N(G46)&gt;=$A46+16/24,N(H46)&lt;=$A46+6/24),OR(I46="",N(I46)&lt;=$A46+6/24)),1,0)))</f>
        <v/>
      </c>
      <c r="N46" s="26" t="str">
        <f aca="false">IF($A46="","",IF(INDEX(Muster!$C$7:$BF$7,1,MOD($A46-Einstellungen!$C$6,Einstellungen!$C$7)+1)="","-",INDEX(Muster!$C$7:$BF$7,1,MOD($A46-Einstellungen!$C$6,Einstellungen!$C$7)+1)))</f>
        <v>N</v>
      </c>
      <c r="O46" s="27" t="n">
        <f aca="false">IF($A46="","",IFERROR(VLOOKUP(N46,Schichten!$A$5:$G$24,6,FALSE()),0))</f>
        <v>8</v>
      </c>
      <c r="P46" s="27" t="n">
        <f aca="false">IF($A46="","",IFERROR(VLOOKUP(N46,Schichten!$A$5:$G$24,7,FALSE()),0))</f>
        <v>7</v>
      </c>
      <c r="Q46" s="28" t="n">
        <f aca="false">IF($A46="","",IF(N(O46)=0,"",$A46+VLOOKUP(N46,Schichten!$A$5:$G$24,3,FALSE())))</f>
        <v>46429.9166666667</v>
      </c>
      <c r="R46" s="28" t="n">
        <f aca="false">IF(Q46="","",$A46+VLOOKUP(N46,Schichten!$A$5:$G$24,4,FALSE())+IF(VLOOKUP(N46,Schichten!$A$5:$G$24,4,FALSE())&lt;=VLOOKUP(N46,Schichten!$A$5:$G$24,3,FALSE()),1,0))</f>
        <v>46430.25</v>
      </c>
      <c r="S46" s="28" t="n">
        <f aca="false">IF($A46="","",IF(N(O45)&gt;0,R45,S45))</f>
        <v>46428.9166666667</v>
      </c>
      <c r="T46" s="27" t="n">
        <f aca="false">IF(OR(Q46="",S46=""),"",(Q46-S46)*24)</f>
        <v>24</v>
      </c>
      <c r="U46" s="21" t="n">
        <f aca="false">IF($A46="","",IF(N(O46)&gt;0,N(U45)+1,0))</f>
        <v>5</v>
      </c>
      <c r="V46" s="21" t="n">
        <f aca="false">IF($A46="","",IF(N(P46)&gt;0,N(V45)+1,0))</f>
        <v>1</v>
      </c>
      <c r="W46" s="21" t="str">
        <f aca="false">IF($A46="","",IF(WEEKDAY($A46,2)&lt;&gt;7,"",IF(AND(OR(Q46="",N(Q46)&gt;=$A46+16/24,N(R46)&lt;=$A46+6/24),OR(S46="",N(S46)&lt;=$A46+6/24)),1,0)))</f>
        <v/>
      </c>
      <c r="X46" s="26" t="str">
        <f aca="false">IF($A46="","",IF(INDEX(Muster!$C$8:$BF$8,1,MOD($A46-Einstellungen!$C$6,Einstellungen!$C$7)+1)="","-",INDEX(Muster!$C$8:$BF$8,1,MOD($A46-Einstellungen!$C$6,Einstellungen!$C$7)+1)))</f>
        <v>S</v>
      </c>
      <c r="Y46" s="27" t="n">
        <f aca="false">IF($A46="","",IFERROR(VLOOKUP(X46,Schichten!$A$5:$G$24,6,FALSE()),0))</f>
        <v>8</v>
      </c>
      <c r="Z46" s="27" t="n">
        <f aca="false">IF($A46="","",IFERROR(VLOOKUP(X46,Schichten!$A$5:$G$24,7,FALSE()),0))</f>
        <v>0</v>
      </c>
      <c r="AA46" s="28" t="n">
        <f aca="false">IF($A46="","",IF(N(Y46)=0,"",$A46+VLOOKUP(X46,Schichten!$A$5:$G$24,3,FALSE())))</f>
        <v>46429.5833333333</v>
      </c>
      <c r="AB46" s="28" t="n">
        <f aca="false">IF(AA46="","",$A46+VLOOKUP(X46,Schichten!$A$5:$G$24,4,FALSE())+IF(VLOOKUP(X46,Schichten!$A$5:$G$24,4,FALSE())&lt;=VLOOKUP(X46,Schichten!$A$5:$G$24,3,FALSE()),1,0))</f>
        <v>46429.9166666667</v>
      </c>
      <c r="AC46" s="28" t="n">
        <f aca="false">IF($A46="","",IF(N(Y45)&gt;0,AB45,AC45))</f>
        <v>46428.5833333333</v>
      </c>
      <c r="AD46" s="27" t="n">
        <f aca="false">IF(OR(AA46="",AC46=""),"",(AA46-AC46)*24)</f>
        <v>24</v>
      </c>
      <c r="AE46" s="21" t="n">
        <f aca="false">IF($A46="","",IF(N(Y46)&gt;0,N(AE45)+1,0))</f>
        <v>3</v>
      </c>
      <c r="AF46" s="21" t="n">
        <f aca="false">IF($A46="","",IF(N(Z46)&gt;0,N(AF45)+1,0))</f>
        <v>0</v>
      </c>
      <c r="AG46" s="21" t="str">
        <f aca="false">IF($A46="","",IF(WEEKDAY($A46,2)&lt;&gt;7,"",IF(AND(OR(AA46="",N(AA46)&gt;=$A46+16/24,N(AB46)&lt;=$A46+6/24),OR(AC46="",N(AC46)&lt;=$A46+6/24)),1,0)))</f>
        <v/>
      </c>
      <c r="AH46" s="26" t="str">
        <f aca="false">IF($A46="","",IF(INDEX(Muster!$C$9:$BF$9,1,MOD($A46-Einstellungen!$C$6,Einstellungen!$C$7)+1)="","-",INDEX(Muster!$C$9:$BF$9,1,MOD($A46-Einstellungen!$C$6,Einstellungen!$C$7)+1)))</f>
        <v>F</v>
      </c>
      <c r="AI46" s="27" t="n">
        <f aca="false">IF($A46="","",IFERROR(VLOOKUP(AH46,Schichten!$A$5:$G$24,6,FALSE()),0))</f>
        <v>8</v>
      </c>
      <c r="AJ46" s="27" t="n">
        <f aca="false">IF($A46="","",IFERROR(VLOOKUP(AH46,Schichten!$A$5:$G$24,7,FALSE()),0))</f>
        <v>0</v>
      </c>
      <c r="AK46" s="28" t="n">
        <f aca="false">IF($A46="","",IF(N(AI46)=0,"",$A46+VLOOKUP(AH46,Schichten!$A$5:$G$24,3,FALSE())))</f>
        <v>46429.25</v>
      </c>
      <c r="AL46" s="28" t="n">
        <f aca="false">IF(AK46="","",$A46+VLOOKUP(AH46,Schichten!$A$5:$G$24,4,FALSE())+IF(VLOOKUP(AH46,Schichten!$A$5:$G$24,4,FALSE())&lt;=VLOOKUP(AH46,Schichten!$A$5:$G$24,3,FALSE()),1,0))</f>
        <v>46429.5833333333</v>
      </c>
      <c r="AM46" s="28" t="n">
        <f aca="false">IF($A46="","",IF(N(AI45)&gt;0,AL45,AM45))</f>
        <v>46427.25</v>
      </c>
      <c r="AN46" s="27" t="n">
        <f aca="false">IF(OR(AK46="",AM46=""),"",(AK46-AM46)*24)</f>
        <v>48</v>
      </c>
      <c r="AO46" s="21" t="n">
        <f aca="false">IF($A46="","",IF(N(AI46)&gt;0,N(AO45)+1,0))</f>
        <v>1</v>
      </c>
      <c r="AP46" s="21" t="n">
        <f aca="false">IF($A46="","",IF(N(AJ46)&gt;0,N(AP45)+1,0))</f>
        <v>0</v>
      </c>
      <c r="AQ46" s="21" t="str">
        <f aca="false">IF($A46="","",IF(WEEKDAY($A46,2)&lt;&gt;7,"",IF(AND(OR(AK46="",N(AK46)&gt;=$A46+16/24,N(AL46)&lt;=$A46+6/24),OR(AM46="",N(AM46)&lt;=$A46+6/24)),1,0)))</f>
        <v/>
      </c>
      <c r="AR46" s="26" t="str">
        <f aca="false">IF($A46="","",IF(INDEX(Muster!$C$10:$BF$10,1,MOD($A46-Einstellungen!$C$6,Einstellungen!$C$7)+1)="","-",INDEX(Muster!$C$10:$BF$10,1,MOD($A46-Einstellungen!$C$6,Einstellungen!$C$7)+1)))</f>
        <v>-</v>
      </c>
      <c r="AS46" s="27" t="n">
        <f aca="false">IF($A46="","",IFERROR(VLOOKUP(AR46,Schichten!$A$5:$G$24,6,FALSE()),0))</f>
        <v>0</v>
      </c>
      <c r="AT46" s="27" t="n">
        <f aca="false">IF($A46="","",IFERROR(VLOOKUP(AR46,Schichten!$A$5:$G$24,7,FALSE()),0))</f>
        <v>0</v>
      </c>
      <c r="AU46" s="28" t="str">
        <f aca="false">IF($A46="","",IF(N(AS46)=0,"",$A46+VLOOKUP(AR46,Schichten!$A$5:$G$24,3,FALSE())))</f>
        <v/>
      </c>
      <c r="AV46" s="28" t="str">
        <f aca="false">IF(AU46="","",$A46+VLOOKUP(AR46,Schichten!$A$5:$G$24,4,FALSE())+IF(VLOOKUP(AR46,Schichten!$A$5:$G$24,4,FALSE())&lt;=VLOOKUP(AR46,Schichten!$A$5:$G$24,3,FALSE()),1,0))</f>
        <v/>
      </c>
      <c r="AW46" s="28" t="str">
        <f aca="false">IF($A46="","",IF(N(AS45)&gt;0,AV45,AW45))</f>
        <v/>
      </c>
      <c r="AX46" s="27" t="str">
        <f aca="false">IF(OR(AU46="",AW46=""),"",(AU46-AW46)*24)</f>
        <v/>
      </c>
      <c r="AY46" s="21" t="n">
        <f aca="false">IF($A46="","",IF(N(AS46)&gt;0,N(AY45)+1,0))</f>
        <v>0</v>
      </c>
      <c r="AZ46" s="21" t="n">
        <f aca="false">IF($A46="","",IF(N(AT46)&gt;0,N(AZ45)+1,0))</f>
        <v>0</v>
      </c>
      <c r="BA46" s="21" t="str">
        <f aca="false">IF($A46="","",IF(WEEKDAY($A46,2)&lt;&gt;7,"",IF(AND(OR(AU46="",N(AU46)&gt;=$A46+16/24,N(AV46)&lt;=$A46+6/24),OR(AW46="",N(AW46)&lt;=$A46+6/24)),1,0)))</f>
        <v/>
      </c>
    </row>
    <row r="47" customFormat="false" ht="15" hidden="false" customHeight="false" outlineLevel="0" collapsed="false">
      <c r="A47" s="25" t="n">
        <f aca="false">IF(YEAR(DATE(Einstellungen!$C$4,1,1)+42)=Einstellungen!$C$4,DATE(Einstellungen!$C$4,1,1)+42,"")</f>
        <v>46430</v>
      </c>
      <c r="B47" s="26" t="str">
        <f aca="false">IF($A47="","",CHOOSE(WEEKDAY($A47,2),"Mo","Di","Mi","Do","Fr","Sa","So"))</f>
        <v>Fr</v>
      </c>
      <c r="C47" s="26" t="n">
        <f aca="false">IF($A47="","",MONTH($A47))</f>
        <v>2</v>
      </c>
      <c r="D47" s="26" t="str">
        <f aca="false">IF($A47="","",IF(INDEX(Muster!$C$6:$BF$6,1,MOD($A47-Einstellungen!$C$6,Einstellungen!$C$7)+1)="","-",INDEX(Muster!$C$6:$BF$6,1,MOD($A47-Einstellungen!$C$6,Einstellungen!$C$7)+1)))</f>
        <v>-</v>
      </c>
      <c r="E47" s="27" t="n">
        <f aca="false">IF($A47="","",IFERROR(VLOOKUP(D47,Schichten!$A$5:$G$24,6,FALSE()),0))</f>
        <v>0</v>
      </c>
      <c r="F47" s="27" t="n">
        <f aca="false">IF($A47="","",IFERROR(VLOOKUP(D47,Schichten!$A$5:$G$24,7,FALSE()),0))</f>
        <v>0</v>
      </c>
      <c r="G47" s="28" t="str">
        <f aca="false">IF($A47="","",IF(N(E47)=0,"",$A47+VLOOKUP(D47,Schichten!$A$5:$G$24,3,FALSE())))</f>
        <v/>
      </c>
      <c r="H47" s="28" t="str">
        <f aca="false">IF(G47="","",$A47+VLOOKUP(D47,Schichten!$A$5:$G$24,4,FALSE())+IF(VLOOKUP(D47,Schichten!$A$5:$G$24,4,FALSE())&lt;=VLOOKUP(D47,Schichten!$A$5:$G$24,3,FALSE()),1,0))</f>
        <v/>
      </c>
      <c r="I47" s="28" t="n">
        <f aca="false">IF($A47="","",IF(N(E46)&gt;0,H46,I46))</f>
        <v>46429.25</v>
      </c>
      <c r="J47" s="27" t="str">
        <f aca="false">IF(OR(G47="",I47=""),"",(G47-I47)*24)</f>
        <v/>
      </c>
      <c r="K47" s="21" t="n">
        <f aca="false">IF($A47="","",IF(N(E47)&gt;0,N(K46)+1,0))</f>
        <v>0</v>
      </c>
      <c r="L47" s="21" t="n">
        <f aca="false">IF($A47="","",IF(N(F47)&gt;0,N(L46)+1,0))</f>
        <v>0</v>
      </c>
      <c r="M47" s="21" t="str">
        <f aca="false">IF($A47="","",IF(WEEKDAY($A47,2)&lt;&gt;7,"",IF(AND(OR(G47="",N(G47)&gt;=$A47+16/24,N(H47)&lt;=$A47+6/24),OR(I47="",N(I47)&lt;=$A47+6/24)),1,0)))</f>
        <v/>
      </c>
      <c r="N47" s="26" t="str">
        <f aca="false">IF($A47="","",IF(INDEX(Muster!$C$7:$BF$7,1,MOD($A47-Einstellungen!$C$6,Einstellungen!$C$7)+1)="","-",INDEX(Muster!$C$7:$BF$7,1,MOD($A47-Einstellungen!$C$6,Einstellungen!$C$7)+1)))</f>
        <v>N</v>
      </c>
      <c r="O47" s="27" t="n">
        <f aca="false">IF($A47="","",IFERROR(VLOOKUP(N47,Schichten!$A$5:$G$24,6,FALSE()),0))</f>
        <v>8</v>
      </c>
      <c r="P47" s="27" t="n">
        <f aca="false">IF($A47="","",IFERROR(VLOOKUP(N47,Schichten!$A$5:$G$24,7,FALSE()),0))</f>
        <v>7</v>
      </c>
      <c r="Q47" s="28" t="n">
        <f aca="false">IF($A47="","",IF(N(O47)=0,"",$A47+VLOOKUP(N47,Schichten!$A$5:$G$24,3,FALSE())))</f>
        <v>46430.9166666667</v>
      </c>
      <c r="R47" s="28" t="n">
        <f aca="false">IF(Q47="","",$A47+VLOOKUP(N47,Schichten!$A$5:$G$24,4,FALSE())+IF(VLOOKUP(N47,Schichten!$A$5:$G$24,4,FALSE())&lt;=VLOOKUP(N47,Schichten!$A$5:$G$24,3,FALSE()),1,0))</f>
        <v>46431.25</v>
      </c>
      <c r="S47" s="28" t="n">
        <f aca="false">IF($A47="","",IF(N(O46)&gt;0,R46,S46))</f>
        <v>46430.25</v>
      </c>
      <c r="T47" s="27" t="n">
        <f aca="false">IF(OR(Q47="",S47=""),"",(Q47-S47)*24)</f>
        <v>16</v>
      </c>
      <c r="U47" s="21" t="n">
        <f aca="false">IF($A47="","",IF(N(O47)&gt;0,N(U46)+1,0))</f>
        <v>6</v>
      </c>
      <c r="V47" s="21" t="n">
        <f aca="false">IF($A47="","",IF(N(P47)&gt;0,N(V46)+1,0))</f>
        <v>2</v>
      </c>
      <c r="W47" s="21" t="str">
        <f aca="false">IF($A47="","",IF(WEEKDAY($A47,2)&lt;&gt;7,"",IF(AND(OR(Q47="",N(Q47)&gt;=$A47+16/24,N(R47)&lt;=$A47+6/24),OR(S47="",N(S47)&lt;=$A47+6/24)),1,0)))</f>
        <v/>
      </c>
      <c r="X47" s="26" t="str">
        <f aca="false">IF($A47="","",IF(INDEX(Muster!$C$8:$BF$8,1,MOD($A47-Einstellungen!$C$6,Einstellungen!$C$7)+1)="","-",INDEX(Muster!$C$8:$BF$8,1,MOD($A47-Einstellungen!$C$6,Einstellungen!$C$7)+1)))</f>
        <v>S</v>
      </c>
      <c r="Y47" s="27" t="n">
        <f aca="false">IF($A47="","",IFERROR(VLOOKUP(X47,Schichten!$A$5:$G$24,6,FALSE()),0))</f>
        <v>8</v>
      </c>
      <c r="Z47" s="27" t="n">
        <f aca="false">IF($A47="","",IFERROR(VLOOKUP(X47,Schichten!$A$5:$G$24,7,FALSE()),0))</f>
        <v>0</v>
      </c>
      <c r="AA47" s="28" t="n">
        <f aca="false">IF($A47="","",IF(N(Y47)=0,"",$A47+VLOOKUP(X47,Schichten!$A$5:$G$24,3,FALSE())))</f>
        <v>46430.5833333333</v>
      </c>
      <c r="AB47" s="28" t="n">
        <f aca="false">IF(AA47="","",$A47+VLOOKUP(X47,Schichten!$A$5:$G$24,4,FALSE())+IF(VLOOKUP(X47,Schichten!$A$5:$G$24,4,FALSE())&lt;=VLOOKUP(X47,Schichten!$A$5:$G$24,3,FALSE()),1,0))</f>
        <v>46430.9166666667</v>
      </c>
      <c r="AC47" s="28" t="n">
        <f aca="false">IF($A47="","",IF(N(Y46)&gt;0,AB46,AC46))</f>
        <v>46429.9166666667</v>
      </c>
      <c r="AD47" s="27" t="n">
        <f aca="false">IF(OR(AA47="",AC47=""),"",(AA47-AC47)*24)</f>
        <v>16</v>
      </c>
      <c r="AE47" s="21" t="n">
        <f aca="false">IF($A47="","",IF(N(Y47)&gt;0,N(AE46)+1,0))</f>
        <v>4</v>
      </c>
      <c r="AF47" s="21" t="n">
        <f aca="false">IF($A47="","",IF(N(Z47)&gt;0,N(AF46)+1,0))</f>
        <v>0</v>
      </c>
      <c r="AG47" s="21" t="str">
        <f aca="false">IF($A47="","",IF(WEEKDAY($A47,2)&lt;&gt;7,"",IF(AND(OR(AA47="",N(AA47)&gt;=$A47+16/24,N(AB47)&lt;=$A47+6/24),OR(AC47="",N(AC47)&lt;=$A47+6/24)),1,0)))</f>
        <v/>
      </c>
      <c r="AH47" s="26" t="str">
        <f aca="false">IF($A47="","",IF(INDEX(Muster!$C$9:$BF$9,1,MOD($A47-Einstellungen!$C$6,Einstellungen!$C$7)+1)="","-",INDEX(Muster!$C$9:$BF$9,1,MOD($A47-Einstellungen!$C$6,Einstellungen!$C$7)+1)))</f>
        <v>F</v>
      </c>
      <c r="AI47" s="27" t="n">
        <f aca="false">IF($A47="","",IFERROR(VLOOKUP(AH47,Schichten!$A$5:$G$24,6,FALSE()),0))</f>
        <v>8</v>
      </c>
      <c r="AJ47" s="27" t="n">
        <f aca="false">IF($A47="","",IFERROR(VLOOKUP(AH47,Schichten!$A$5:$G$24,7,FALSE()),0))</f>
        <v>0</v>
      </c>
      <c r="AK47" s="28" t="n">
        <f aca="false">IF($A47="","",IF(N(AI47)=0,"",$A47+VLOOKUP(AH47,Schichten!$A$5:$G$24,3,FALSE())))</f>
        <v>46430.25</v>
      </c>
      <c r="AL47" s="28" t="n">
        <f aca="false">IF(AK47="","",$A47+VLOOKUP(AH47,Schichten!$A$5:$G$24,4,FALSE())+IF(VLOOKUP(AH47,Schichten!$A$5:$G$24,4,FALSE())&lt;=VLOOKUP(AH47,Schichten!$A$5:$G$24,3,FALSE()),1,0))</f>
        <v>46430.5833333333</v>
      </c>
      <c r="AM47" s="28" t="n">
        <f aca="false">IF($A47="","",IF(N(AI46)&gt;0,AL46,AM46))</f>
        <v>46429.5833333333</v>
      </c>
      <c r="AN47" s="27" t="n">
        <f aca="false">IF(OR(AK47="",AM47=""),"",(AK47-AM47)*24)</f>
        <v>16</v>
      </c>
      <c r="AO47" s="21" t="n">
        <f aca="false">IF($A47="","",IF(N(AI47)&gt;0,N(AO46)+1,0))</f>
        <v>2</v>
      </c>
      <c r="AP47" s="21" t="n">
        <f aca="false">IF($A47="","",IF(N(AJ47)&gt;0,N(AP46)+1,0))</f>
        <v>0</v>
      </c>
      <c r="AQ47" s="21" t="str">
        <f aca="false">IF($A47="","",IF(WEEKDAY($A47,2)&lt;&gt;7,"",IF(AND(OR(AK47="",N(AK47)&gt;=$A47+16/24,N(AL47)&lt;=$A47+6/24),OR(AM47="",N(AM47)&lt;=$A47+6/24)),1,0)))</f>
        <v/>
      </c>
      <c r="AR47" s="26" t="str">
        <f aca="false">IF($A47="","",IF(INDEX(Muster!$C$10:$BF$10,1,MOD($A47-Einstellungen!$C$6,Einstellungen!$C$7)+1)="","-",INDEX(Muster!$C$10:$BF$10,1,MOD($A47-Einstellungen!$C$6,Einstellungen!$C$7)+1)))</f>
        <v>-</v>
      </c>
      <c r="AS47" s="27" t="n">
        <f aca="false">IF($A47="","",IFERROR(VLOOKUP(AR47,Schichten!$A$5:$G$24,6,FALSE()),0))</f>
        <v>0</v>
      </c>
      <c r="AT47" s="27" t="n">
        <f aca="false">IF($A47="","",IFERROR(VLOOKUP(AR47,Schichten!$A$5:$G$24,7,FALSE()),0))</f>
        <v>0</v>
      </c>
      <c r="AU47" s="28" t="str">
        <f aca="false">IF($A47="","",IF(N(AS47)=0,"",$A47+VLOOKUP(AR47,Schichten!$A$5:$G$24,3,FALSE())))</f>
        <v/>
      </c>
      <c r="AV47" s="28" t="str">
        <f aca="false">IF(AU47="","",$A47+VLOOKUP(AR47,Schichten!$A$5:$G$24,4,FALSE())+IF(VLOOKUP(AR47,Schichten!$A$5:$G$24,4,FALSE())&lt;=VLOOKUP(AR47,Schichten!$A$5:$G$24,3,FALSE()),1,0))</f>
        <v/>
      </c>
      <c r="AW47" s="28" t="str">
        <f aca="false">IF($A47="","",IF(N(AS46)&gt;0,AV46,AW46))</f>
        <v/>
      </c>
      <c r="AX47" s="27" t="str">
        <f aca="false">IF(OR(AU47="",AW47=""),"",(AU47-AW47)*24)</f>
        <v/>
      </c>
      <c r="AY47" s="21" t="n">
        <f aca="false">IF($A47="","",IF(N(AS47)&gt;0,N(AY46)+1,0))</f>
        <v>0</v>
      </c>
      <c r="AZ47" s="21" t="n">
        <f aca="false">IF($A47="","",IF(N(AT47)&gt;0,N(AZ46)+1,0))</f>
        <v>0</v>
      </c>
      <c r="BA47" s="21" t="str">
        <f aca="false">IF($A47="","",IF(WEEKDAY($A47,2)&lt;&gt;7,"",IF(AND(OR(AU47="",N(AU47)&gt;=$A47+16/24,N(AV47)&lt;=$A47+6/24),OR(AW47="",N(AW47)&lt;=$A47+6/24)),1,0)))</f>
        <v/>
      </c>
    </row>
    <row r="48" customFormat="false" ht="15" hidden="false" customHeight="false" outlineLevel="0" collapsed="false">
      <c r="A48" s="25" t="n">
        <f aca="false">IF(YEAR(DATE(Einstellungen!$C$4,1,1)+43)=Einstellungen!$C$4,DATE(Einstellungen!$C$4,1,1)+43,"")</f>
        <v>46431</v>
      </c>
      <c r="B48" s="26" t="str">
        <f aca="false">IF($A48="","",CHOOSE(WEEKDAY($A48,2),"Mo","Di","Mi","Do","Fr","Sa","So"))</f>
        <v>Sa</v>
      </c>
      <c r="C48" s="26" t="n">
        <f aca="false">IF($A48="","",MONTH($A48))</f>
        <v>2</v>
      </c>
      <c r="D48" s="26" t="str">
        <f aca="false">IF($A48="","",IF(INDEX(Muster!$C$6:$BF$6,1,MOD($A48-Einstellungen!$C$6,Einstellungen!$C$7)+1)="","-",INDEX(Muster!$C$6:$BF$6,1,MOD($A48-Einstellungen!$C$6,Einstellungen!$C$7)+1)))</f>
        <v>F</v>
      </c>
      <c r="E48" s="27" t="n">
        <f aca="false">IF($A48="","",IFERROR(VLOOKUP(D48,Schichten!$A$5:$G$24,6,FALSE()),0))</f>
        <v>8</v>
      </c>
      <c r="F48" s="27" t="n">
        <f aca="false">IF($A48="","",IFERROR(VLOOKUP(D48,Schichten!$A$5:$G$24,7,FALSE()),0))</f>
        <v>0</v>
      </c>
      <c r="G48" s="28" t="n">
        <f aca="false">IF($A48="","",IF(N(E48)=0,"",$A48+VLOOKUP(D48,Schichten!$A$5:$G$24,3,FALSE())))</f>
        <v>46431.25</v>
      </c>
      <c r="H48" s="28" t="n">
        <f aca="false">IF(G48="","",$A48+VLOOKUP(D48,Schichten!$A$5:$G$24,4,FALSE())+IF(VLOOKUP(D48,Schichten!$A$5:$G$24,4,FALSE())&lt;=VLOOKUP(D48,Schichten!$A$5:$G$24,3,FALSE()),1,0))</f>
        <v>46431.5833333333</v>
      </c>
      <c r="I48" s="28" t="n">
        <f aca="false">IF($A48="","",IF(N(E47)&gt;0,H47,I47))</f>
        <v>46429.25</v>
      </c>
      <c r="J48" s="27" t="n">
        <f aca="false">IF(OR(G48="",I48=""),"",(G48-I48)*24)</f>
        <v>48</v>
      </c>
      <c r="K48" s="21" t="n">
        <f aca="false">IF($A48="","",IF(N(E48)&gt;0,N(K47)+1,0))</f>
        <v>1</v>
      </c>
      <c r="L48" s="21" t="n">
        <f aca="false">IF($A48="","",IF(N(F48)&gt;0,N(L47)+1,0))</f>
        <v>0</v>
      </c>
      <c r="M48" s="21" t="str">
        <f aca="false">IF($A48="","",IF(WEEKDAY($A48,2)&lt;&gt;7,"",IF(AND(OR(G48="",N(G48)&gt;=$A48+16/24,N(H48)&lt;=$A48+6/24),OR(I48="",N(I48)&lt;=$A48+6/24)),1,0)))</f>
        <v/>
      </c>
      <c r="N48" s="26" t="str">
        <f aca="false">IF($A48="","",IF(INDEX(Muster!$C$7:$BF$7,1,MOD($A48-Einstellungen!$C$6,Einstellungen!$C$7)+1)="","-",INDEX(Muster!$C$7:$BF$7,1,MOD($A48-Einstellungen!$C$6,Einstellungen!$C$7)+1)))</f>
        <v>-</v>
      </c>
      <c r="O48" s="27" t="n">
        <f aca="false">IF($A48="","",IFERROR(VLOOKUP(N48,Schichten!$A$5:$G$24,6,FALSE()),0))</f>
        <v>0</v>
      </c>
      <c r="P48" s="27" t="n">
        <f aca="false">IF($A48="","",IFERROR(VLOOKUP(N48,Schichten!$A$5:$G$24,7,FALSE()),0))</f>
        <v>0</v>
      </c>
      <c r="Q48" s="28" t="str">
        <f aca="false">IF($A48="","",IF(N(O48)=0,"",$A48+VLOOKUP(N48,Schichten!$A$5:$G$24,3,FALSE())))</f>
        <v/>
      </c>
      <c r="R48" s="28" t="str">
        <f aca="false">IF(Q48="","",$A48+VLOOKUP(N48,Schichten!$A$5:$G$24,4,FALSE())+IF(VLOOKUP(N48,Schichten!$A$5:$G$24,4,FALSE())&lt;=VLOOKUP(N48,Schichten!$A$5:$G$24,3,FALSE()),1,0))</f>
        <v/>
      </c>
      <c r="S48" s="28" t="n">
        <f aca="false">IF($A48="","",IF(N(O47)&gt;0,R47,S47))</f>
        <v>46431.25</v>
      </c>
      <c r="T48" s="27" t="str">
        <f aca="false">IF(OR(Q48="",S48=""),"",(Q48-S48)*24)</f>
        <v/>
      </c>
      <c r="U48" s="21" t="n">
        <f aca="false">IF($A48="","",IF(N(O48)&gt;0,N(U47)+1,0))</f>
        <v>0</v>
      </c>
      <c r="V48" s="21" t="n">
        <f aca="false">IF($A48="","",IF(N(P48)&gt;0,N(V47)+1,0))</f>
        <v>0</v>
      </c>
      <c r="W48" s="21" t="str">
        <f aca="false">IF($A48="","",IF(WEEKDAY($A48,2)&lt;&gt;7,"",IF(AND(OR(Q48="",N(Q48)&gt;=$A48+16/24,N(R48)&lt;=$A48+6/24),OR(S48="",N(S48)&lt;=$A48+6/24)),1,0)))</f>
        <v/>
      </c>
      <c r="X48" s="26" t="str">
        <f aca="false">IF($A48="","",IF(INDEX(Muster!$C$8:$BF$8,1,MOD($A48-Einstellungen!$C$6,Einstellungen!$C$7)+1)="","-",INDEX(Muster!$C$8:$BF$8,1,MOD($A48-Einstellungen!$C$6,Einstellungen!$C$7)+1)))</f>
        <v>N</v>
      </c>
      <c r="Y48" s="27" t="n">
        <f aca="false">IF($A48="","",IFERROR(VLOOKUP(X48,Schichten!$A$5:$G$24,6,FALSE()),0))</f>
        <v>8</v>
      </c>
      <c r="Z48" s="27" t="n">
        <f aca="false">IF($A48="","",IFERROR(VLOOKUP(X48,Schichten!$A$5:$G$24,7,FALSE()),0))</f>
        <v>7</v>
      </c>
      <c r="AA48" s="28" t="n">
        <f aca="false">IF($A48="","",IF(N(Y48)=0,"",$A48+VLOOKUP(X48,Schichten!$A$5:$G$24,3,FALSE())))</f>
        <v>46431.9166666667</v>
      </c>
      <c r="AB48" s="28" t="n">
        <f aca="false">IF(AA48="","",$A48+VLOOKUP(X48,Schichten!$A$5:$G$24,4,FALSE())+IF(VLOOKUP(X48,Schichten!$A$5:$G$24,4,FALSE())&lt;=VLOOKUP(X48,Schichten!$A$5:$G$24,3,FALSE()),1,0))</f>
        <v>46432.25</v>
      </c>
      <c r="AC48" s="28" t="n">
        <f aca="false">IF($A48="","",IF(N(Y47)&gt;0,AB47,AC47))</f>
        <v>46430.9166666667</v>
      </c>
      <c r="AD48" s="27" t="n">
        <f aca="false">IF(OR(AA48="",AC48=""),"",(AA48-AC48)*24)</f>
        <v>24</v>
      </c>
      <c r="AE48" s="21" t="n">
        <f aca="false">IF($A48="","",IF(N(Y48)&gt;0,N(AE47)+1,0))</f>
        <v>5</v>
      </c>
      <c r="AF48" s="21" t="n">
        <f aca="false">IF($A48="","",IF(N(Z48)&gt;0,N(AF47)+1,0))</f>
        <v>1</v>
      </c>
      <c r="AG48" s="21" t="str">
        <f aca="false">IF($A48="","",IF(WEEKDAY($A48,2)&lt;&gt;7,"",IF(AND(OR(AA48="",N(AA48)&gt;=$A48+16/24,N(AB48)&lt;=$A48+6/24),OR(AC48="",N(AC48)&lt;=$A48+6/24)),1,0)))</f>
        <v/>
      </c>
      <c r="AH48" s="26" t="str">
        <f aca="false">IF($A48="","",IF(INDEX(Muster!$C$9:$BF$9,1,MOD($A48-Einstellungen!$C$6,Einstellungen!$C$7)+1)="","-",INDEX(Muster!$C$9:$BF$9,1,MOD($A48-Einstellungen!$C$6,Einstellungen!$C$7)+1)))</f>
        <v>S</v>
      </c>
      <c r="AI48" s="27" t="n">
        <f aca="false">IF($A48="","",IFERROR(VLOOKUP(AH48,Schichten!$A$5:$G$24,6,FALSE()),0))</f>
        <v>8</v>
      </c>
      <c r="AJ48" s="27" t="n">
        <f aca="false">IF($A48="","",IFERROR(VLOOKUP(AH48,Schichten!$A$5:$G$24,7,FALSE()),0))</f>
        <v>0</v>
      </c>
      <c r="AK48" s="28" t="n">
        <f aca="false">IF($A48="","",IF(N(AI48)=0,"",$A48+VLOOKUP(AH48,Schichten!$A$5:$G$24,3,FALSE())))</f>
        <v>46431.5833333333</v>
      </c>
      <c r="AL48" s="28" t="n">
        <f aca="false">IF(AK48="","",$A48+VLOOKUP(AH48,Schichten!$A$5:$G$24,4,FALSE())+IF(VLOOKUP(AH48,Schichten!$A$5:$G$24,4,FALSE())&lt;=VLOOKUP(AH48,Schichten!$A$5:$G$24,3,FALSE()),1,0))</f>
        <v>46431.9166666667</v>
      </c>
      <c r="AM48" s="28" t="n">
        <f aca="false">IF($A48="","",IF(N(AI47)&gt;0,AL47,AM47))</f>
        <v>46430.5833333333</v>
      </c>
      <c r="AN48" s="27" t="n">
        <f aca="false">IF(OR(AK48="",AM48=""),"",(AK48-AM48)*24)</f>
        <v>24</v>
      </c>
      <c r="AO48" s="21" t="n">
        <f aca="false">IF($A48="","",IF(N(AI48)&gt;0,N(AO47)+1,0))</f>
        <v>3</v>
      </c>
      <c r="AP48" s="21" t="n">
        <f aca="false">IF($A48="","",IF(N(AJ48)&gt;0,N(AP47)+1,0))</f>
        <v>0</v>
      </c>
      <c r="AQ48" s="21" t="str">
        <f aca="false">IF($A48="","",IF(WEEKDAY($A48,2)&lt;&gt;7,"",IF(AND(OR(AK48="",N(AK48)&gt;=$A48+16/24,N(AL48)&lt;=$A48+6/24),OR(AM48="",N(AM48)&lt;=$A48+6/24)),1,0)))</f>
        <v/>
      </c>
      <c r="AR48" s="26" t="str">
        <f aca="false">IF($A48="","",IF(INDEX(Muster!$C$10:$BF$10,1,MOD($A48-Einstellungen!$C$6,Einstellungen!$C$7)+1)="","-",INDEX(Muster!$C$10:$BF$10,1,MOD($A48-Einstellungen!$C$6,Einstellungen!$C$7)+1)))</f>
        <v>-</v>
      </c>
      <c r="AS48" s="27" t="n">
        <f aca="false">IF($A48="","",IFERROR(VLOOKUP(AR48,Schichten!$A$5:$G$24,6,FALSE()),0))</f>
        <v>0</v>
      </c>
      <c r="AT48" s="27" t="n">
        <f aca="false">IF($A48="","",IFERROR(VLOOKUP(AR48,Schichten!$A$5:$G$24,7,FALSE()),0))</f>
        <v>0</v>
      </c>
      <c r="AU48" s="28" t="str">
        <f aca="false">IF($A48="","",IF(N(AS48)=0,"",$A48+VLOOKUP(AR48,Schichten!$A$5:$G$24,3,FALSE())))</f>
        <v/>
      </c>
      <c r="AV48" s="28" t="str">
        <f aca="false">IF(AU48="","",$A48+VLOOKUP(AR48,Schichten!$A$5:$G$24,4,FALSE())+IF(VLOOKUP(AR48,Schichten!$A$5:$G$24,4,FALSE())&lt;=VLOOKUP(AR48,Schichten!$A$5:$G$24,3,FALSE()),1,0))</f>
        <v/>
      </c>
      <c r="AW48" s="28" t="str">
        <f aca="false">IF($A48="","",IF(N(AS47)&gt;0,AV47,AW47))</f>
        <v/>
      </c>
      <c r="AX48" s="27" t="str">
        <f aca="false">IF(OR(AU48="",AW48=""),"",(AU48-AW48)*24)</f>
        <v/>
      </c>
      <c r="AY48" s="21" t="n">
        <f aca="false">IF($A48="","",IF(N(AS48)&gt;0,N(AY47)+1,0))</f>
        <v>0</v>
      </c>
      <c r="AZ48" s="21" t="n">
        <f aca="false">IF($A48="","",IF(N(AT48)&gt;0,N(AZ47)+1,0))</f>
        <v>0</v>
      </c>
      <c r="BA48" s="21" t="str">
        <f aca="false">IF($A48="","",IF(WEEKDAY($A48,2)&lt;&gt;7,"",IF(AND(OR(AU48="",N(AU48)&gt;=$A48+16/24,N(AV48)&lt;=$A48+6/24),OR(AW48="",N(AW48)&lt;=$A48+6/24)),1,0)))</f>
        <v/>
      </c>
    </row>
    <row r="49" customFormat="false" ht="15" hidden="false" customHeight="false" outlineLevel="0" collapsed="false">
      <c r="A49" s="25" t="n">
        <f aca="false">IF(YEAR(DATE(Einstellungen!$C$4,1,1)+44)=Einstellungen!$C$4,DATE(Einstellungen!$C$4,1,1)+44,"")</f>
        <v>46432</v>
      </c>
      <c r="B49" s="26" t="str">
        <f aca="false">IF($A49="","",CHOOSE(WEEKDAY($A49,2),"Mo","Di","Mi","Do","Fr","Sa","So"))</f>
        <v>So</v>
      </c>
      <c r="C49" s="26" t="n">
        <f aca="false">IF($A49="","",MONTH($A49))</f>
        <v>2</v>
      </c>
      <c r="D49" s="26" t="str">
        <f aca="false">IF($A49="","",IF(INDEX(Muster!$C$6:$BF$6,1,MOD($A49-Einstellungen!$C$6,Einstellungen!$C$7)+1)="","-",INDEX(Muster!$C$6:$BF$6,1,MOD($A49-Einstellungen!$C$6,Einstellungen!$C$7)+1)))</f>
        <v>F</v>
      </c>
      <c r="E49" s="27" t="n">
        <f aca="false">IF($A49="","",IFERROR(VLOOKUP(D49,Schichten!$A$5:$G$24,6,FALSE()),0))</f>
        <v>8</v>
      </c>
      <c r="F49" s="27" t="n">
        <f aca="false">IF($A49="","",IFERROR(VLOOKUP(D49,Schichten!$A$5:$G$24,7,FALSE()),0))</f>
        <v>0</v>
      </c>
      <c r="G49" s="28" t="n">
        <f aca="false">IF($A49="","",IF(N(E49)=0,"",$A49+VLOOKUP(D49,Schichten!$A$5:$G$24,3,FALSE())))</f>
        <v>46432.25</v>
      </c>
      <c r="H49" s="28" t="n">
        <f aca="false">IF(G49="","",$A49+VLOOKUP(D49,Schichten!$A$5:$G$24,4,FALSE())+IF(VLOOKUP(D49,Schichten!$A$5:$G$24,4,FALSE())&lt;=VLOOKUP(D49,Schichten!$A$5:$G$24,3,FALSE()),1,0))</f>
        <v>46432.5833333333</v>
      </c>
      <c r="I49" s="28" t="n">
        <f aca="false">IF($A49="","",IF(N(E48)&gt;0,H48,I48))</f>
        <v>46431.5833333333</v>
      </c>
      <c r="J49" s="27" t="n">
        <f aca="false">IF(OR(G49="",I49=""),"",(G49-I49)*24)</f>
        <v>16</v>
      </c>
      <c r="K49" s="21" t="n">
        <f aca="false">IF($A49="","",IF(N(E49)&gt;0,N(K48)+1,0))</f>
        <v>2</v>
      </c>
      <c r="L49" s="21" t="n">
        <f aca="false">IF($A49="","",IF(N(F49)&gt;0,N(L48)+1,0))</f>
        <v>0</v>
      </c>
      <c r="M49" s="21" t="n">
        <f aca="false">IF($A49="","",IF(WEEKDAY($A49,2)&lt;&gt;7,"",IF(AND(OR(G49="",N(G49)&gt;=$A49+16/24,N(H49)&lt;=$A49+6/24),OR(I49="",N(I49)&lt;=$A49+6/24)),1,0)))</f>
        <v>0</v>
      </c>
      <c r="N49" s="26" t="str">
        <f aca="false">IF($A49="","",IF(INDEX(Muster!$C$7:$BF$7,1,MOD($A49-Einstellungen!$C$6,Einstellungen!$C$7)+1)="","-",INDEX(Muster!$C$7:$BF$7,1,MOD($A49-Einstellungen!$C$6,Einstellungen!$C$7)+1)))</f>
        <v>-</v>
      </c>
      <c r="O49" s="27" t="n">
        <f aca="false">IF($A49="","",IFERROR(VLOOKUP(N49,Schichten!$A$5:$G$24,6,FALSE()),0))</f>
        <v>0</v>
      </c>
      <c r="P49" s="27" t="n">
        <f aca="false">IF($A49="","",IFERROR(VLOOKUP(N49,Schichten!$A$5:$G$24,7,FALSE()),0))</f>
        <v>0</v>
      </c>
      <c r="Q49" s="28" t="str">
        <f aca="false">IF($A49="","",IF(N(O49)=0,"",$A49+VLOOKUP(N49,Schichten!$A$5:$G$24,3,FALSE())))</f>
        <v/>
      </c>
      <c r="R49" s="28" t="str">
        <f aca="false">IF(Q49="","",$A49+VLOOKUP(N49,Schichten!$A$5:$G$24,4,FALSE())+IF(VLOOKUP(N49,Schichten!$A$5:$G$24,4,FALSE())&lt;=VLOOKUP(N49,Schichten!$A$5:$G$24,3,FALSE()),1,0))</f>
        <v/>
      </c>
      <c r="S49" s="28" t="n">
        <f aca="false">IF($A49="","",IF(N(O48)&gt;0,R48,S48))</f>
        <v>46431.25</v>
      </c>
      <c r="T49" s="27" t="str">
        <f aca="false">IF(OR(Q49="",S49=""),"",(Q49-S49)*24)</f>
        <v/>
      </c>
      <c r="U49" s="21" t="n">
        <f aca="false">IF($A49="","",IF(N(O49)&gt;0,N(U48)+1,0))</f>
        <v>0</v>
      </c>
      <c r="V49" s="21" t="n">
        <f aca="false">IF($A49="","",IF(N(P49)&gt;0,N(V48)+1,0))</f>
        <v>0</v>
      </c>
      <c r="W49" s="21" t="n">
        <f aca="false">IF($A49="","",IF(WEEKDAY($A49,2)&lt;&gt;7,"",IF(AND(OR(Q49="",N(Q49)&gt;=$A49+16/24,N(R49)&lt;=$A49+6/24),OR(S49="",N(S49)&lt;=$A49+6/24)),1,0)))</f>
        <v>1</v>
      </c>
      <c r="X49" s="26" t="str">
        <f aca="false">IF($A49="","",IF(INDEX(Muster!$C$8:$BF$8,1,MOD($A49-Einstellungen!$C$6,Einstellungen!$C$7)+1)="","-",INDEX(Muster!$C$8:$BF$8,1,MOD($A49-Einstellungen!$C$6,Einstellungen!$C$7)+1)))</f>
        <v>N</v>
      </c>
      <c r="Y49" s="27" t="n">
        <f aca="false">IF($A49="","",IFERROR(VLOOKUP(X49,Schichten!$A$5:$G$24,6,FALSE()),0))</f>
        <v>8</v>
      </c>
      <c r="Z49" s="27" t="n">
        <f aca="false">IF($A49="","",IFERROR(VLOOKUP(X49,Schichten!$A$5:$G$24,7,FALSE()),0))</f>
        <v>7</v>
      </c>
      <c r="AA49" s="28" t="n">
        <f aca="false">IF($A49="","",IF(N(Y49)=0,"",$A49+VLOOKUP(X49,Schichten!$A$5:$G$24,3,FALSE())))</f>
        <v>46432.9166666667</v>
      </c>
      <c r="AB49" s="28" t="n">
        <f aca="false">IF(AA49="","",$A49+VLOOKUP(X49,Schichten!$A$5:$G$24,4,FALSE())+IF(VLOOKUP(X49,Schichten!$A$5:$G$24,4,FALSE())&lt;=VLOOKUP(X49,Schichten!$A$5:$G$24,3,FALSE()),1,0))</f>
        <v>46433.25</v>
      </c>
      <c r="AC49" s="28" t="n">
        <f aca="false">IF($A49="","",IF(N(Y48)&gt;0,AB48,AC48))</f>
        <v>46432.25</v>
      </c>
      <c r="AD49" s="27" t="n">
        <f aca="false">IF(OR(AA49="",AC49=""),"",(AA49-AC49)*24)</f>
        <v>16</v>
      </c>
      <c r="AE49" s="21" t="n">
        <f aca="false">IF($A49="","",IF(N(Y49)&gt;0,N(AE48)+1,0))</f>
        <v>6</v>
      </c>
      <c r="AF49" s="21" t="n">
        <f aca="false">IF($A49="","",IF(N(Z49)&gt;0,N(AF48)+1,0))</f>
        <v>2</v>
      </c>
      <c r="AG49" s="21" t="n">
        <f aca="false">IF($A49="","",IF(WEEKDAY($A49,2)&lt;&gt;7,"",IF(AND(OR(AA49="",N(AA49)&gt;=$A49+16/24,N(AB49)&lt;=$A49+6/24),OR(AC49="",N(AC49)&lt;=$A49+6/24)),1,0)))</f>
        <v>1</v>
      </c>
      <c r="AH49" s="26" t="str">
        <f aca="false">IF($A49="","",IF(INDEX(Muster!$C$9:$BF$9,1,MOD($A49-Einstellungen!$C$6,Einstellungen!$C$7)+1)="","-",INDEX(Muster!$C$9:$BF$9,1,MOD($A49-Einstellungen!$C$6,Einstellungen!$C$7)+1)))</f>
        <v>S</v>
      </c>
      <c r="AI49" s="27" t="n">
        <f aca="false">IF($A49="","",IFERROR(VLOOKUP(AH49,Schichten!$A$5:$G$24,6,FALSE()),0))</f>
        <v>8</v>
      </c>
      <c r="AJ49" s="27" t="n">
        <f aca="false">IF($A49="","",IFERROR(VLOOKUP(AH49,Schichten!$A$5:$G$24,7,FALSE()),0))</f>
        <v>0</v>
      </c>
      <c r="AK49" s="28" t="n">
        <f aca="false">IF($A49="","",IF(N(AI49)=0,"",$A49+VLOOKUP(AH49,Schichten!$A$5:$G$24,3,FALSE())))</f>
        <v>46432.5833333333</v>
      </c>
      <c r="AL49" s="28" t="n">
        <f aca="false">IF(AK49="","",$A49+VLOOKUP(AH49,Schichten!$A$5:$G$24,4,FALSE())+IF(VLOOKUP(AH49,Schichten!$A$5:$G$24,4,FALSE())&lt;=VLOOKUP(AH49,Schichten!$A$5:$G$24,3,FALSE()),1,0))</f>
        <v>46432.9166666667</v>
      </c>
      <c r="AM49" s="28" t="n">
        <f aca="false">IF($A49="","",IF(N(AI48)&gt;0,AL48,AM48))</f>
        <v>46431.9166666667</v>
      </c>
      <c r="AN49" s="27" t="n">
        <f aca="false">IF(OR(AK49="",AM49=""),"",(AK49-AM49)*24)</f>
        <v>16</v>
      </c>
      <c r="AO49" s="21" t="n">
        <f aca="false">IF($A49="","",IF(N(AI49)&gt;0,N(AO48)+1,0))</f>
        <v>4</v>
      </c>
      <c r="AP49" s="21" t="n">
        <f aca="false">IF($A49="","",IF(N(AJ49)&gt;0,N(AP48)+1,0))</f>
        <v>0</v>
      </c>
      <c r="AQ49" s="21" t="n">
        <f aca="false">IF($A49="","",IF(WEEKDAY($A49,2)&lt;&gt;7,"",IF(AND(OR(AK49="",N(AK49)&gt;=$A49+16/24,N(AL49)&lt;=$A49+6/24),OR(AM49="",N(AM49)&lt;=$A49+6/24)),1,0)))</f>
        <v>0</v>
      </c>
      <c r="AR49" s="26" t="str">
        <f aca="false">IF($A49="","",IF(INDEX(Muster!$C$10:$BF$10,1,MOD($A49-Einstellungen!$C$6,Einstellungen!$C$7)+1)="","-",INDEX(Muster!$C$10:$BF$10,1,MOD($A49-Einstellungen!$C$6,Einstellungen!$C$7)+1)))</f>
        <v>-</v>
      </c>
      <c r="AS49" s="27" t="n">
        <f aca="false">IF($A49="","",IFERROR(VLOOKUP(AR49,Schichten!$A$5:$G$24,6,FALSE()),0))</f>
        <v>0</v>
      </c>
      <c r="AT49" s="27" t="n">
        <f aca="false">IF($A49="","",IFERROR(VLOOKUP(AR49,Schichten!$A$5:$G$24,7,FALSE()),0))</f>
        <v>0</v>
      </c>
      <c r="AU49" s="28" t="str">
        <f aca="false">IF($A49="","",IF(N(AS49)=0,"",$A49+VLOOKUP(AR49,Schichten!$A$5:$G$24,3,FALSE())))</f>
        <v/>
      </c>
      <c r="AV49" s="28" t="str">
        <f aca="false">IF(AU49="","",$A49+VLOOKUP(AR49,Schichten!$A$5:$G$24,4,FALSE())+IF(VLOOKUP(AR49,Schichten!$A$5:$G$24,4,FALSE())&lt;=VLOOKUP(AR49,Schichten!$A$5:$G$24,3,FALSE()),1,0))</f>
        <v/>
      </c>
      <c r="AW49" s="28" t="str">
        <f aca="false">IF($A49="","",IF(N(AS48)&gt;0,AV48,AW48))</f>
        <v/>
      </c>
      <c r="AX49" s="27" t="str">
        <f aca="false">IF(OR(AU49="",AW49=""),"",(AU49-AW49)*24)</f>
        <v/>
      </c>
      <c r="AY49" s="21" t="n">
        <f aca="false">IF($A49="","",IF(N(AS49)&gt;0,N(AY48)+1,0))</f>
        <v>0</v>
      </c>
      <c r="AZ49" s="21" t="n">
        <f aca="false">IF($A49="","",IF(N(AT49)&gt;0,N(AZ48)+1,0))</f>
        <v>0</v>
      </c>
      <c r="BA49" s="21" t="n">
        <f aca="false">IF($A49="","",IF(WEEKDAY($A49,2)&lt;&gt;7,"",IF(AND(OR(AU49="",N(AU49)&gt;=$A49+16/24,N(AV49)&lt;=$A49+6/24),OR(AW49="",N(AW49)&lt;=$A49+6/24)),1,0)))</f>
        <v>1</v>
      </c>
    </row>
    <row r="50" customFormat="false" ht="15" hidden="false" customHeight="false" outlineLevel="0" collapsed="false">
      <c r="A50" s="25" t="n">
        <f aca="false">IF(YEAR(DATE(Einstellungen!$C$4,1,1)+45)=Einstellungen!$C$4,DATE(Einstellungen!$C$4,1,1)+45,"")</f>
        <v>46433</v>
      </c>
      <c r="B50" s="26" t="str">
        <f aca="false">IF($A50="","",CHOOSE(WEEKDAY($A50,2),"Mo","Di","Mi","Do","Fr","Sa","So"))</f>
        <v>Mo</v>
      </c>
      <c r="C50" s="26" t="n">
        <f aca="false">IF($A50="","",MONTH($A50))</f>
        <v>2</v>
      </c>
      <c r="D50" s="26" t="str">
        <f aca="false">IF($A50="","",IF(INDEX(Muster!$C$6:$BF$6,1,MOD($A50-Einstellungen!$C$6,Einstellungen!$C$7)+1)="","-",INDEX(Muster!$C$6:$BF$6,1,MOD($A50-Einstellungen!$C$6,Einstellungen!$C$7)+1)))</f>
        <v>S</v>
      </c>
      <c r="E50" s="27" t="n">
        <f aca="false">IF($A50="","",IFERROR(VLOOKUP(D50,Schichten!$A$5:$G$24,6,FALSE()),0))</f>
        <v>8</v>
      </c>
      <c r="F50" s="27" t="n">
        <f aca="false">IF($A50="","",IFERROR(VLOOKUP(D50,Schichten!$A$5:$G$24,7,FALSE()),0))</f>
        <v>0</v>
      </c>
      <c r="G50" s="28" t="n">
        <f aca="false">IF($A50="","",IF(N(E50)=0,"",$A50+VLOOKUP(D50,Schichten!$A$5:$G$24,3,FALSE())))</f>
        <v>46433.5833333333</v>
      </c>
      <c r="H50" s="28" t="n">
        <f aca="false">IF(G50="","",$A50+VLOOKUP(D50,Schichten!$A$5:$G$24,4,FALSE())+IF(VLOOKUP(D50,Schichten!$A$5:$G$24,4,FALSE())&lt;=VLOOKUP(D50,Schichten!$A$5:$G$24,3,FALSE()),1,0))</f>
        <v>46433.9166666667</v>
      </c>
      <c r="I50" s="28" t="n">
        <f aca="false">IF($A50="","",IF(N(E49)&gt;0,H49,I49))</f>
        <v>46432.5833333333</v>
      </c>
      <c r="J50" s="27" t="n">
        <f aca="false">IF(OR(G50="",I50=""),"",(G50-I50)*24)</f>
        <v>24</v>
      </c>
      <c r="K50" s="21" t="n">
        <f aca="false">IF($A50="","",IF(N(E50)&gt;0,N(K49)+1,0))</f>
        <v>3</v>
      </c>
      <c r="L50" s="21" t="n">
        <f aca="false">IF($A50="","",IF(N(F50)&gt;0,N(L49)+1,0))</f>
        <v>0</v>
      </c>
      <c r="M50" s="21" t="str">
        <f aca="false">IF($A50="","",IF(WEEKDAY($A50,2)&lt;&gt;7,"",IF(AND(OR(G50="",N(G50)&gt;=$A50+16/24,N(H50)&lt;=$A50+6/24),OR(I50="",N(I50)&lt;=$A50+6/24)),1,0)))</f>
        <v/>
      </c>
      <c r="N50" s="26" t="str">
        <f aca="false">IF($A50="","",IF(INDEX(Muster!$C$7:$BF$7,1,MOD($A50-Einstellungen!$C$6,Einstellungen!$C$7)+1)="","-",INDEX(Muster!$C$7:$BF$7,1,MOD($A50-Einstellungen!$C$6,Einstellungen!$C$7)+1)))</f>
        <v>F</v>
      </c>
      <c r="O50" s="27" t="n">
        <f aca="false">IF($A50="","",IFERROR(VLOOKUP(N50,Schichten!$A$5:$G$24,6,FALSE()),0))</f>
        <v>8</v>
      </c>
      <c r="P50" s="27" t="n">
        <f aca="false">IF($A50="","",IFERROR(VLOOKUP(N50,Schichten!$A$5:$G$24,7,FALSE()),0))</f>
        <v>0</v>
      </c>
      <c r="Q50" s="28" t="n">
        <f aca="false">IF($A50="","",IF(N(O50)=0,"",$A50+VLOOKUP(N50,Schichten!$A$5:$G$24,3,FALSE())))</f>
        <v>46433.25</v>
      </c>
      <c r="R50" s="28" t="n">
        <f aca="false">IF(Q50="","",$A50+VLOOKUP(N50,Schichten!$A$5:$G$24,4,FALSE())+IF(VLOOKUP(N50,Schichten!$A$5:$G$24,4,FALSE())&lt;=VLOOKUP(N50,Schichten!$A$5:$G$24,3,FALSE()),1,0))</f>
        <v>46433.5833333333</v>
      </c>
      <c r="S50" s="28" t="n">
        <f aca="false">IF($A50="","",IF(N(O49)&gt;0,R49,S49))</f>
        <v>46431.25</v>
      </c>
      <c r="T50" s="27" t="n">
        <f aca="false">IF(OR(Q50="",S50=""),"",(Q50-S50)*24)</f>
        <v>48</v>
      </c>
      <c r="U50" s="21" t="n">
        <f aca="false">IF($A50="","",IF(N(O50)&gt;0,N(U49)+1,0))</f>
        <v>1</v>
      </c>
      <c r="V50" s="21" t="n">
        <f aca="false">IF($A50="","",IF(N(P50)&gt;0,N(V49)+1,0))</f>
        <v>0</v>
      </c>
      <c r="W50" s="21" t="str">
        <f aca="false">IF($A50="","",IF(WEEKDAY($A50,2)&lt;&gt;7,"",IF(AND(OR(Q50="",N(Q50)&gt;=$A50+16/24,N(R50)&lt;=$A50+6/24),OR(S50="",N(S50)&lt;=$A50+6/24)),1,0)))</f>
        <v/>
      </c>
      <c r="X50" s="26" t="str">
        <f aca="false">IF($A50="","",IF(INDEX(Muster!$C$8:$BF$8,1,MOD($A50-Einstellungen!$C$6,Einstellungen!$C$7)+1)="","-",INDEX(Muster!$C$8:$BF$8,1,MOD($A50-Einstellungen!$C$6,Einstellungen!$C$7)+1)))</f>
        <v>-</v>
      </c>
      <c r="Y50" s="27" t="n">
        <f aca="false">IF($A50="","",IFERROR(VLOOKUP(X50,Schichten!$A$5:$G$24,6,FALSE()),0))</f>
        <v>0</v>
      </c>
      <c r="Z50" s="27" t="n">
        <f aca="false">IF($A50="","",IFERROR(VLOOKUP(X50,Schichten!$A$5:$G$24,7,FALSE()),0))</f>
        <v>0</v>
      </c>
      <c r="AA50" s="28" t="str">
        <f aca="false">IF($A50="","",IF(N(Y50)=0,"",$A50+VLOOKUP(X50,Schichten!$A$5:$G$24,3,FALSE())))</f>
        <v/>
      </c>
      <c r="AB50" s="28" t="str">
        <f aca="false">IF(AA50="","",$A50+VLOOKUP(X50,Schichten!$A$5:$G$24,4,FALSE())+IF(VLOOKUP(X50,Schichten!$A$5:$G$24,4,FALSE())&lt;=VLOOKUP(X50,Schichten!$A$5:$G$24,3,FALSE()),1,0))</f>
        <v/>
      </c>
      <c r="AC50" s="28" t="n">
        <f aca="false">IF($A50="","",IF(N(Y49)&gt;0,AB49,AC49))</f>
        <v>46433.25</v>
      </c>
      <c r="AD50" s="27" t="str">
        <f aca="false">IF(OR(AA50="",AC50=""),"",(AA50-AC50)*24)</f>
        <v/>
      </c>
      <c r="AE50" s="21" t="n">
        <f aca="false">IF($A50="","",IF(N(Y50)&gt;0,N(AE49)+1,0))</f>
        <v>0</v>
      </c>
      <c r="AF50" s="21" t="n">
        <f aca="false">IF($A50="","",IF(N(Z50)&gt;0,N(AF49)+1,0))</f>
        <v>0</v>
      </c>
      <c r="AG50" s="21" t="str">
        <f aca="false">IF($A50="","",IF(WEEKDAY($A50,2)&lt;&gt;7,"",IF(AND(OR(AA50="",N(AA50)&gt;=$A50+16/24,N(AB50)&lt;=$A50+6/24),OR(AC50="",N(AC50)&lt;=$A50+6/24)),1,0)))</f>
        <v/>
      </c>
      <c r="AH50" s="26" t="str">
        <f aca="false">IF($A50="","",IF(INDEX(Muster!$C$9:$BF$9,1,MOD($A50-Einstellungen!$C$6,Einstellungen!$C$7)+1)="","-",INDEX(Muster!$C$9:$BF$9,1,MOD($A50-Einstellungen!$C$6,Einstellungen!$C$7)+1)))</f>
        <v>N</v>
      </c>
      <c r="AI50" s="27" t="n">
        <f aca="false">IF($A50="","",IFERROR(VLOOKUP(AH50,Schichten!$A$5:$G$24,6,FALSE()),0))</f>
        <v>8</v>
      </c>
      <c r="AJ50" s="27" t="n">
        <f aca="false">IF($A50="","",IFERROR(VLOOKUP(AH50,Schichten!$A$5:$G$24,7,FALSE()),0))</f>
        <v>7</v>
      </c>
      <c r="AK50" s="28" t="n">
        <f aca="false">IF($A50="","",IF(N(AI50)=0,"",$A50+VLOOKUP(AH50,Schichten!$A$5:$G$24,3,FALSE())))</f>
        <v>46433.9166666667</v>
      </c>
      <c r="AL50" s="28" t="n">
        <f aca="false">IF(AK50="","",$A50+VLOOKUP(AH50,Schichten!$A$5:$G$24,4,FALSE())+IF(VLOOKUP(AH50,Schichten!$A$5:$G$24,4,FALSE())&lt;=VLOOKUP(AH50,Schichten!$A$5:$G$24,3,FALSE()),1,0))</f>
        <v>46434.25</v>
      </c>
      <c r="AM50" s="28" t="n">
        <f aca="false">IF($A50="","",IF(N(AI49)&gt;0,AL49,AM49))</f>
        <v>46432.9166666667</v>
      </c>
      <c r="AN50" s="27" t="n">
        <f aca="false">IF(OR(AK50="",AM50=""),"",(AK50-AM50)*24)</f>
        <v>24</v>
      </c>
      <c r="AO50" s="21" t="n">
        <f aca="false">IF($A50="","",IF(N(AI50)&gt;0,N(AO49)+1,0))</f>
        <v>5</v>
      </c>
      <c r="AP50" s="21" t="n">
        <f aca="false">IF($A50="","",IF(N(AJ50)&gt;0,N(AP49)+1,0))</f>
        <v>1</v>
      </c>
      <c r="AQ50" s="21" t="str">
        <f aca="false">IF($A50="","",IF(WEEKDAY($A50,2)&lt;&gt;7,"",IF(AND(OR(AK50="",N(AK50)&gt;=$A50+16/24,N(AL50)&lt;=$A50+6/24),OR(AM50="",N(AM50)&lt;=$A50+6/24)),1,0)))</f>
        <v/>
      </c>
      <c r="AR50" s="26" t="str">
        <f aca="false">IF($A50="","",IF(INDEX(Muster!$C$10:$BF$10,1,MOD($A50-Einstellungen!$C$6,Einstellungen!$C$7)+1)="","-",INDEX(Muster!$C$10:$BF$10,1,MOD($A50-Einstellungen!$C$6,Einstellungen!$C$7)+1)))</f>
        <v>-</v>
      </c>
      <c r="AS50" s="27" t="n">
        <f aca="false">IF($A50="","",IFERROR(VLOOKUP(AR50,Schichten!$A$5:$G$24,6,FALSE()),0))</f>
        <v>0</v>
      </c>
      <c r="AT50" s="27" t="n">
        <f aca="false">IF($A50="","",IFERROR(VLOOKUP(AR50,Schichten!$A$5:$G$24,7,FALSE()),0))</f>
        <v>0</v>
      </c>
      <c r="AU50" s="28" t="str">
        <f aca="false">IF($A50="","",IF(N(AS50)=0,"",$A50+VLOOKUP(AR50,Schichten!$A$5:$G$24,3,FALSE())))</f>
        <v/>
      </c>
      <c r="AV50" s="28" t="str">
        <f aca="false">IF(AU50="","",$A50+VLOOKUP(AR50,Schichten!$A$5:$G$24,4,FALSE())+IF(VLOOKUP(AR50,Schichten!$A$5:$G$24,4,FALSE())&lt;=VLOOKUP(AR50,Schichten!$A$5:$G$24,3,FALSE()),1,0))</f>
        <v/>
      </c>
      <c r="AW50" s="28" t="str">
        <f aca="false">IF($A50="","",IF(N(AS49)&gt;0,AV49,AW49))</f>
        <v/>
      </c>
      <c r="AX50" s="27" t="str">
        <f aca="false">IF(OR(AU50="",AW50=""),"",(AU50-AW50)*24)</f>
        <v/>
      </c>
      <c r="AY50" s="21" t="n">
        <f aca="false">IF($A50="","",IF(N(AS50)&gt;0,N(AY49)+1,0))</f>
        <v>0</v>
      </c>
      <c r="AZ50" s="21" t="n">
        <f aca="false">IF($A50="","",IF(N(AT50)&gt;0,N(AZ49)+1,0))</f>
        <v>0</v>
      </c>
      <c r="BA50" s="21" t="str">
        <f aca="false">IF($A50="","",IF(WEEKDAY($A50,2)&lt;&gt;7,"",IF(AND(OR(AU50="",N(AU50)&gt;=$A50+16/24,N(AV50)&lt;=$A50+6/24),OR(AW50="",N(AW50)&lt;=$A50+6/24)),1,0)))</f>
        <v/>
      </c>
    </row>
    <row r="51" customFormat="false" ht="15" hidden="false" customHeight="false" outlineLevel="0" collapsed="false">
      <c r="A51" s="25" t="n">
        <f aca="false">IF(YEAR(DATE(Einstellungen!$C$4,1,1)+46)=Einstellungen!$C$4,DATE(Einstellungen!$C$4,1,1)+46,"")</f>
        <v>46434</v>
      </c>
      <c r="B51" s="26" t="str">
        <f aca="false">IF($A51="","",CHOOSE(WEEKDAY($A51,2),"Mo","Di","Mi","Do","Fr","Sa","So"))</f>
        <v>Di</v>
      </c>
      <c r="C51" s="26" t="n">
        <f aca="false">IF($A51="","",MONTH($A51))</f>
        <v>2</v>
      </c>
      <c r="D51" s="26" t="str">
        <f aca="false">IF($A51="","",IF(INDEX(Muster!$C$6:$BF$6,1,MOD($A51-Einstellungen!$C$6,Einstellungen!$C$7)+1)="","-",INDEX(Muster!$C$6:$BF$6,1,MOD($A51-Einstellungen!$C$6,Einstellungen!$C$7)+1)))</f>
        <v>S</v>
      </c>
      <c r="E51" s="27" t="n">
        <f aca="false">IF($A51="","",IFERROR(VLOOKUP(D51,Schichten!$A$5:$G$24,6,FALSE()),0))</f>
        <v>8</v>
      </c>
      <c r="F51" s="27" t="n">
        <f aca="false">IF($A51="","",IFERROR(VLOOKUP(D51,Schichten!$A$5:$G$24,7,FALSE()),0))</f>
        <v>0</v>
      </c>
      <c r="G51" s="28" t="n">
        <f aca="false">IF($A51="","",IF(N(E51)=0,"",$A51+VLOOKUP(D51,Schichten!$A$5:$G$24,3,FALSE())))</f>
        <v>46434.5833333333</v>
      </c>
      <c r="H51" s="28" t="n">
        <f aca="false">IF(G51="","",$A51+VLOOKUP(D51,Schichten!$A$5:$G$24,4,FALSE())+IF(VLOOKUP(D51,Schichten!$A$5:$G$24,4,FALSE())&lt;=VLOOKUP(D51,Schichten!$A$5:$G$24,3,FALSE()),1,0))</f>
        <v>46434.9166666667</v>
      </c>
      <c r="I51" s="28" t="n">
        <f aca="false">IF($A51="","",IF(N(E50)&gt;0,H50,I50))</f>
        <v>46433.9166666667</v>
      </c>
      <c r="J51" s="27" t="n">
        <f aca="false">IF(OR(G51="",I51=""),"",(G51-I51)*24)</f>
        <v>16</v>
      </c>
      <c r="K51" s="21" t="n">
        <f aca="false">IF($A51="","",IF(N(E51)&gt;0,N(K50)+1,0))</f>
        <v>4</v>
      </c>
      <c r="L51" s="21" t="n">
        <f aca="false">IF($A51="","",IF(N(F51)&gt;0,N(L50)+1,0))</f>
        <v>0</v>
      </c>
      <c r="M51" s="21" t="str">
        <f aca="false">IF($A51="","",IF(WEEKDAY($A51,2)&lt;&gt;7,"",IF(AND(OR(G51="",N(G51)&gt;=$A51+16/24,N(H51)&lt;=$A51+6/24),OR(I51="",N(I51)&lt;=$A51+6/24)),1,0)))</f>
        <v/>
      </c>
      <c r="N51" s="26" t="str">
        <f aca="false">IF($A51="","",IF(INDEX(Muster!$C$7:$BF$7,1,MOD($A51-Einstellungen!$C$6,Einstellungen!$C$7)+1)="","-",INDEX(Muster!$C$7:$BF$7,1,MOD($A51-Einstellungen!$C$6,Einstellungen!$C$7)+1)))</f>
        <v>F</v>
      </c>
      <c r="O51" s="27" t="n">
        <f aca="false">IF($A51="","",IFERROR(VLOOKUP(N51,Schichten!$A$5:$G$24,6,FALSE()),0))</f>
        <v>8</v>
      </c>
      <c r="P51" s="27" t="n">
        <f aca="false">IF($A51="","",IFERROR(VLOOKUP(N51,Schichten!$A$5:$G$24,7,FALSE()),0))</f>
        <v>0</v>
      </c>
      <c r="Q51" s="28" t="n">
        <f aca="false">IF($A51="","",IF(N(O51)=0,"",$A51+VLOOKUP(N51,Schichten!$A$5:$G$24,3,FALSE())))</f>
        <v>46434.25</v>
      </c>
      <c r="R51" s="28" t="n">
        <f aca="false">IF(Q51="","",$A51+VLOOKUP(N51,Schichten!$A$5:$G$24,4,FALSE())+IF(VLOOKUP(N51,Schichten!$A$5:$G$24,4,FALSE())&lt;=VLOOKUP(N51,Schichten!$A$5:$G$24,3,FALSE()),1,0))</f>
        <v>46434.5833333333</v>
      </c>
      <c r="S51" s="28" t="n">
        <f aca="false">IF($A51="","",IF(N(O50)&gt;0,R50,S50))</f>
        <v>46433.5833333333</v>
      </c>
      <c r="T51" s="27" t="n">
        <f aca="false">IF(OR(Q51="",S51=""),"",(Q51-S51)*24)</f>
        <v>16</v>
      </c>
      <c r="U51" s="21" t="n">
        <f aca="false">IF($A51="","",IF(N(O51)&gt;0,N(U50)+1,0))</f>
        <v>2</v>
      </c>
      <c r="V51" s="21" t="n">
        <f aca="false">IF($A51="","",IF(N(P51)&gt;0,N(V50)+1,0))</f>
        <v>0</v>
      </c>
      <c r="W51" s="21" t="str">
        <f aca="false">IF($A51="","",IF(WEEKDAY($A51,2)&lt;&gt;7,"",IF(AND(OR(Q51="",N(Q51)&gt;=$A51+16/24,N(R51)&lt;=$A51+6/24),OR(S51="",N(S51)&lt;=$A51+6/24)),1,0)))</f>
        <v/>
      </c>
      <c r="X51" s="26" t="str">
        <f aca="false">IF($A51="","",IF(INDEX(Muster!$C$8:$BF$8,1,MOD($A51-Einstellungen!$C$6,Einstellungen!$C$7)+1)="","-",INDEX(Muster!$C$8:$BF$8,1,MOD($A51-Einstellungen!$C$6,Einstellungen!$C$7)+1)))</f>
        <v>-</v>
      </c>
      <c r="Y51" s="27" t="n">
        <f aca="false">IF($A51="","",IFERROR(VLOOKUP(X51,Schichten!$A$5:$G$24,6,FALSE()),0))</f>
        <v>0</v>
      </c>
      <c r="Z51" s="27" t="n">
        <f aca="false">IF($A51="","",IFERROR(VLOOKUP(X51,Schichten!$A$5:$G$24,7,FALSE()),0))</f>
        <v>0</v>
      </c>
      <c r="AA51" s="28" t="str">
        <f aca="false">IF($A51="","",IF(N(Y51)=0,"",$A51+VLOOKUP(X51,Schichten!$A$5:$G$24,3,FALSE())))</f>
        <v/>
      </c>
      <c r="AB51" s="28" t="str">
        <f aca="false">IF(AA51="","",$A51+VLOOKUP(X51,Schichten!$A$5:$G$24,4,FALSE())+IF(VLOOKUP(X51,Schichten!$A$5:$G$24,4,FALSE())&lt;=VLOOKUP(X51,Schichten!$A$5:$G$24,3,FALSE()),1,0))</f>
        <v/>
      </c>
      <c r="AC51" s="28" t="n">
        <f aca="false">IF($A51="","",IF(N(Y50)&gt;0,AB50,AC50))</f>
        <v>46433.25</v>
      </c>
      <c r="AD51" s="27" t="str">
        <f aca="false">IF(OR(AA51="",AC51=""),"",(AA51-AC51)*24)</f>
        <v/>
      </c>
      <c r="AE51" s="21" t="n">
        <f aca="false">IF($A51="","",IF(N(Y51)&gt;0,N(AE50)+1,0))</f>
        <v>0</v>
      </c>
      <c r="AF51" s="21" t="n">
        <f aca="false">IF($A51="","",IF(N(Z51)&gt;0,N(AF50)+1,0))</f>
        <v>0</v>
      </c>
      <c r="AG51" s="21" t="str">
        <f aca="false">IF($A51="","",IF(WEEKDAY($A51,2)&lt;&gt;7,"",IF(AND(OR(AA51="",N(AA51)&gt;=$A51+16/24,N(AB51)&lt;=$A51+6/24),OR(AC51="",N(AC51)&lt;=$A51+6/24)),1,0)))</f>
        <v/>
      </c>
      <c r="AH51" s="26" t="str">
        <f aca="false">IF($A51="","",IF(INDEX(Muster!$C$9:$BF$9,1,MOD($A51-Einstellungen!$C$6,Einstellungen!$C$7)+1)="","-",INDEX(Muster!$C$9:$BF$9,1,MOD($A51-Einstellungen!$C$6,Einstellungen!$C$7)+1)))</f>
        <v>N</v>
      </c>
      <c r="AI51" s="27" t="n">
        <f aca="false">IF($A51="","",IFERROR(VLOOKUP(AH51,Schichten!$A$5:$G$24,6,FALSE()),0))</f>
        <v>8</v>
      </c>
      <c r="AJ51" s="27" t="n">
        <f aca="false">IF($A51="","",IFERROR(VLOOKUP(AH51,Schichten!$A$5:$G$24,7,FALSE()),0))</f>
        <v>7</v>
      </c>
      <c r="AK51" s="28" t="n">
        <f aca="false">IF($A51="","",IF(N(AI51)=0,"",$A51+VLOOKUP(AH51,Schichten!$A$5:$G$24,3,FALSE())))</f>
        <v>46434.9166666667</v>
      </c>
      <c r="AL51" s="28" t="n">
        <f aca="false">IF(AK51="","",$A51+VLOOKUP(AH51,Schichten!$A$5:$G$24,4,FALSE())+IF(VLOOKUP(AH51,Schichten!$A$5:$G$24,4,FALSE())&lt;=VLOOKUP(AH51,Schichten!$A$5:$G$24,3,FALSE()),1,0))</f>
        <v>46435.25</v>
      </c>
      <c r="AM51" s="28" t="n">
        <f aca="false">IF($A51="","",IF(N(AI50)&gt;0,AL50,AM50))</f>
        <v>46434.25</v>
      </c>
      <c r="AN51" s="27" t="n">
        <f aca="false">IF(OR(AK51="",AM51=""),"",(AK51-AM51)*24)</f>
        <v>16</v>
      </c>
      <c r="AO51" s="21" t="n">
        <f aca="false">IF($A51="","",IF(N(AI51)&gt;0,N(AO50)+1,0))</f>
        <v>6</v>
      </c>
      <c r="AP51" s="21" t="n">
        <f aca="false">IF($A51="","",IF(N(AJ51)&gt;0,N(AP50)+1,0))</f>
        <v>2</v>
      </c>
      <c r="AQ51" s="21" t="str">
        <f aca="false">IF($A51="","",IF(WEEKDAY($A51,2)&lt;&gt;7,"",IF(AND(OR(AK51="",N(AK51)&gt;=$A51+16/24,N(AL51)&lt;=$A51+6/24),OR(AM51="",N(AM51)&lt;=$A51+6/24)),1,0)))</f>
        <v/>
      </c>
      <c r="AR51" s="26" t="str">
        <f aca="false">IF($A51="","",IF(INDEX(Muster!$C$10:$BF$10,1,MOD($A51-Einstellungen!$C$6,Einstellungen!$C$7)+1)="","-",INDEX(Muster!$C$10:$BF$10,1,MOD($A51-Einstellungen!$C$6,Einstellungen!$C$7)+1)))</f>
        <v>-</v>
      </c>
      <c r="AS51" s="27" t="n">
        <f aca="false">IF($A51="","",IFERROR(VLOOKUP(AR51,Schichten!$A$5:$G$24,6,FALSE()),0))</f>
        <v>0</v>
      </c>
      <c r="AT51" s="27" t="n">
        <f aca="false">IF($A51="","",IFERROR(VLOOKUP(AR51,Schichten!$A$5:$G$24,7,FALSE()),0))</f>
        <v>0</v>
      </c>
      <c r="AU51" s="28" t="str">
        <f aca="false">IF($A51="","",IF(N(AS51)=0,"",$A51+VLOOKUP(AR51,Schichten!$A$5:$G$24,3,FALSE())))</f>
        <v/>
      </c>
      <c r="AV51" s="28" t="str">
        <f aca="false">IF(AU51="","",$A51+VLOOKUP(AR51,Schichten!$A$5:$G$24,4,FALSE())+IF(VLOOKUP(AR51,Schichten!$A$5:$G$24,4,FALSE())&lt;=VLOOKUP(AR51,Schichten!$A$5:$G$24,3,FALSE()),1,0))</f>
        <v/>
      </c>
      <c r="AW51" s="28" t="str">
        <f aca="false">IF($A51="","",IF(N(AS50)&gt;0,AV50,AW50))</f>
        <v/>
      </c>
      <c r="AX51" s="27" t="str">
        <f aca="false">IF(OR(AU51="",AW51=""),"",(AU51-AW51)*24)</f>
        <v/>
      </c>
      <c r="AY51" s="21" t="n">
        <f aca="false">IF($A51="","",IF(N(AS51)&gt;0,N(AY50)+1,0))</f>
        <v>0</v>
      </c>
      <c r="AZ51" s="21" t="n">
        <f aca="false">IF($A51="","",IF(N(AT51)&gt;0,N(AZ50)+1,0))</f>
        <v>0</v>
      </c>
      <c r="BA51" s="21" t="str">
        <f aca="false">IF($A51="","",IF(WEEKDAY($A51,2)&lt;&gt;7,"",IF(AND(OR(AU51="",N(AU51)&gt;=$A51+16/24,N(AV51)&lt;=$A51+6/24),OR(AW51="",N(AW51)&lt;=$A51+6/24)),1,0)))</f>
        <v/>
      </c>
    </row>
    <row r="52" customFormat="false" ht="15" hidden="false" customHeight="false" outlineLevel="0" collapsed="false">
      <c r="A52" s="25" t="n">
        <f aca="false">IF(YEAR(DATE(Einstellungen!$C$4,1,1)+47)=Einstellungen!$C$4,DATE(Einstellungen!$C$4,1,1)+47,"")</f>
        <v>46435</v>
      </c>
      <c r="B52" s="26" t="str">
        <f aca="false">IF($A52="","",CHOOSE(WEEKDAY($A52,2),"Mo","Di","Mi","Do","Fr","Sa","So"))</f>
        <v>Mi</v>
      </c>
      <c r="C52" s="26" t="n">
        <f aca="false">IF($A52="","",MONTH($A52))</f>
        <v>2</v>
      </c>
      <c r="D52" s="26" t="str">
        <f aca="false">IF($A52="","",IF(INDEX(Muster!$C$6:$BF$6,1,MOD($A52-Einstellungen!$C$6,Einstellungen!$C$7)+1)="","-",INDEX(Muster!$C$6:$BF$6,1,MOD($A52-Einstellungen!$C$6,Einstellungen!$C$7)+1)))</f>
        <v>N</v>
      </c>
      <c r="E52" s="27" t="n">
        <f aca="false">IF($A52="","",IFERROR(VLOOKUP(D52,Schichten!$A$5:$G$24,6,FALSE()),0))</f>
        <v>8</v>
      </c>
      <c r="F52" s="27" t="n">
        <f aca="false">IF($A52="","",IFERROR(VLOOKUP(D52,Schichten!$A$5:$G$24,7,FALSE()),0))</f>
        <v>7</v>
      </c>
      <c r="G52" s="28" t="n">
        <f aca="false">IF($A52="","",IF(N(E52)=0,"",$A52+VLOOKUP(D52,Schichten!$A$5:$G$24,3,FALSE())))</f>
        <v>46435.9166666667</v>
      </c>
      <c r="H52" s="28" t="n">
        <f aca="false">IF(G52="","",$A52+VLOOKUP(D52,Schichten!$A$5:$G$24,4,FALSE())+IF(VLOOKUP(D52,Schichten!$A$5:$G$24,4,FALSE())&lt;=VLOOKUP(D52,Schichten!$A$5:$G$24,3,FALSE()),1,0))</f>
        <v>46436.25</v>
      </c>
      <c r="I52" s="28" t="n">
        <f aca="false">IF($A52="","",IF(N(E51)&gt;0,H51,I51))</f>
        <v>46434.9166666667</v>
      </c>
      <c r="J52" s="27" t="n">
        <f aca="false">IF(OR(G52="",I52=""),"",(G52-I52)*24)</f>
        <v>24</v>
      </c>
      <c r="K52" s="21" t="n">
        <f aca="false">IF($A52="","",IF(N(E52)&gt;0,N(K51)+1,0))</f>
        <v>5</v>
      </c>
      <c r="L52" s="21" t="n">
        <f aca="false">IF($A52="","",IF(N(F52)&gt;0,N(L51)+1,0))</f>
        <v>1</v>
      </c>
      <c r="M52" s="21" t="str">
        <f aca="false">IF($A52="","",IF(WEEKDAY($A52,2)&lt;&gt;7,"",IF(AND(OR(G52="",N(G52)&gt;=$A52+16/24,N(H52)&lt;=$A52+6/24),OR(I52="",N(I52)&lt;=$A52+6/24)),1,0)))</f>
        <v/>
      </c>
      <c r="N52" s="26" t="str">
        <f aca="false">IF($A52="","",IF(INDEX(Muster!$C$7:$BF$7,1,MOD($A52-Einstellungen!$C$6,Einstellungen!$C$7)+1)="","-",INDEX(Muster!$C$7:$BF$7,1,MOD($A52-Einstellungen!$C$6,Einstellungen!$C$7)+1)))</f>
        <v>S</v>
      </c>
      <c r="O52" s="27" t="n">
        <f aca="false">IF($A52="","",IFERROR(VLOOKUP(N52,Schichten!$A$5:$G$24,6,FALSE()),0))</f>
        <v>8</v>
      </c>
      <c r="P52" s="27" t="n">
        <f aca="false">IF($A52="","",IFERROR(VLOOKUP(N52,Schichten!$A$5:$G$24,7,FALSE()),0))</f>
        <v>0</v>
      </c>
      <c r="Q52" s="28" t="n">
        <f aca="false">IF($A52="","",IF(N(O52)=0,"",$A52+VLOOKUP(N52,Schichten!$A$5:$G$24,3,FALSE())))</f>
        <v>46435.5833333333</v>
      </c>
      <c r="R52" s="28" t="n">
        <f aca="false">IF(Q52="","",$A52+VLOOKUP(N52,Schichten!$A$5:$G$24,4,FALSE())+IF(VLOOKUP(N52,Schichten!$A$5:$G$24,4,FALSE())&lt;=VLOOKUP(N52,Schichten!$A$5:$G$24,3,FALSE()),1,0))</f>
        <v>46435.9166666667</v>
      </c>
      <c r="S52" s="28" t="n">
        <f aca="false">IF($A52="","",IF(N(O51)&gt;0,R51,S51))</f>
        <v>46434.5833333333</v>
      </c>
      <c r="T52" s="27" t="n">
        <f aca="false">IF(OR(Q52="",S52=""),"",(Q52-S52)*24)</f>
        <v>24</v>
      </c>
      <c r="U52" s="21" t="n">
        <f aca="false">IF($A52="","",IF(N(O52)&gt;0,N(U51)+1,0))</f>
        <v>3</v>
      </c>
      <c r="V52" s="21" t="n">
        <f aca="false">IF($A52="","",IF(N(P52)&gt;0,N(V51)+1,0))</f>
        <v>0</v>
      </c>
      <c r="W52" s="21" t="str">
        <f aca="false">IF($A52="","",IF(WEEKDAY($A52,2)&lt;&gt;7,"",IF(AND(OR(Q52="",N(Q52)&gt;=$A52+16/24,N(R52)&lt;=$A52+6/24),OR(S52="",N(S52)&lt;=$A52+6/24)),1,0)))</f>
        <v/>
      </c>
      <c r="X52" s="26" t="str">
        <f aca="false">IF($A52="","",IF(INDEX(Muster!$C$8:$BF$8,1,MOD($A52-Einstellungen!$C$6,Einstellungen!$C$7)+1)="","-",INDEX(Muster!$C$8:$BF$8,1,MOD($A52-Einstellungen!$C$6,Einstellungen!$C$7)+1)))</f>
        <v>F</v>
      </c>
      <c r="Y52" s="27" t="n">
        <f aca="false">IF($A52="","",IFERROR(VLOOKUP(X52,Schichten!$A$5:$G$24,6,FALSE()),0))</f>
        <v>8</v>
      </c>
      <c r="Z52" s="27" t="n">
        <f aca="false">IF($A52="","",IFERROR(VLOOKUP(X52,Schichten!$A$5:$G$24,7,FALSE()),0))</f>
        <v>0</v>
      </c>
      <c r="AA52" s="28" t="n">
        <f aca="false">IF($A52="","",IF(N(Y52)=0,"",$A52+VLOOKUP(X52,Schichten!$A$5:$G$24,3,FALSE())))</f>
        <v>46435.25</v>
      </c>
      <c r="AB52" s="28" t="n">
        <f aca="false">IF(AA52="","",$A52+VLOOKUP(X52,Schichten!$A$5:$G$24,4,FALSE())+IF(VLOOKUP(X52,Schichten!$A$5:$G$24,4,FALSE())&lt;=VLOOKUP(X52,Schichten!$A$5:$G$24,3,FALSE()),1,0))</f>
        <v>46435.5833333333</v>
      </c>
      <c r="AC52" s="28" t="n">
        <f aca="false">IF($A52="","",IF(N(Y51)&gt;0,AB51,AC51))</f>
        <v>46433.25</v>
      </c>
      <c r="AD52" s="27" t="n">
        <f aca="false">IF(OR(AA52="",AC52=""),"",(AA52-AC52)*24)</f>
        <v>48</v>
      </c>
      <c r="AE52" s="21" t="n">
        <f aca="false">IF($A52="","",IF(N(Y52)&gt;0,N(AE51)+1,0))</f>
        <v>1</v>
      </c>
      <c r="AF52" s="21" t="n">
        <f aca="false">IF($A52="","",IF(N(Z52)&gt;0,N(AF51)+1,0))</f>
        <v>0</v>
      </c>
      <c r="AG52" s="21" t="str">
        <f aca="false">IF($A52="","",IF(WEEKDAY($A52,2)&lt;&gt;7,"",IF(AND(OR(AA52="",N(AA52)&gt;=$A52+16/24,N(AB52)&lt;=$A52+6/24),OR(AC52="",N(AC52)&lt;=$A52+6/24)),1,0)))</f>
        <v/>
      </c>
      <c r="AH52" s="26" t="str">
        <f aca="false">IF($A52="","",IF(INDEX(Muster!$C$9:$BF$9,1,MOD($A52-Einstellungen!$C$6,Einstellungen!$C$7)+1)="","-",INDEX(Muster!$C$9:$BF$9,1,MOD($A52-Einstellungen!$C$6,Einstellungen!$C$7)+1)))</f>
        <v>-</v>
      </c>
      <c r="AI52" s="27" t="n">
        <f aca="false">IF($A52="","",IFERROR(VLOOKUP(AH52,Schichten!$A$5:$G$24,6,FALSE()),0))</f>
        <v>0</v>
      </c>
      <c r="AJ52" s="27" t="n">
        <f aca="false">IF($A52="","",IFERROR(VLOOKUP(AH52,Schichten!$A$5:$G$24,7,FALSE()),0))</f>
        <v>0</v>
      </c>
      <c r="AK52" s="28" t="str">
        <f aca="false">IF($A52="","",IF(N(AI52)=0,"",$A52+VLOOKUP(AH52,Schichten!$A$5:$G$24,3,FALSE())))</f>
        <v/>
      </c>
      <c r="AL52" s="28" t="str">
        <f aca="false">IF(AK52="","",$A52+VLOOKUP(AH52,Schichten!$A$5:$G$24,4,FALSE())+IF(VLOOKUP(AH52,Schichten!$A$5:$G$24,4,FALSE())&lt;=VLOOKUP(AH52,Schichten!$A$5:$G$24,3,FALSE()),1,0))</f>
        <v/>
      </c>
      <c r="AM52" s="28" t="n">
        <f aca="false">IF($A52="","",IF(N(AI51)&gt;0,AL51,AM51))</f>
        <v>46435.25</v>
      </c>
      <c r="AN52" s="27" t="str">
        <f aca="false">IF(OR(AK52="",AM52=""),"",(AK52-AM52)*24)</f>
        <v/>
      </c>
      <c r="AO52" s="21" t="n">
        <f aca="false">IF($A52="","",IF(N(AI52)&gt;0,N(AO51)+1,0))</f>
        <v>0</v>
      </c>
      <c r="AP52" s="21" t="n">
        <f aca="false">IF($A52="","",IF(N(AJ52)&gt;0,N(AP51)+1,0))</f>
        <v>0</v>
      </c>
      <c r="AQ52" s="21" t="str">
        <f aca="false">IF($A52="","",IF(WEEKDAY($A52,2)&lt;&gt;7,"",IF(AND(OR(AK52="",N(AK52)&gt;=$A52+16/24,N(AL52)&lt;=$A52+6/24),OR(AM52="",N(AM52)&lt;=$A52+6/24)),1,0)))</f>
        <v/>
      </c>
      <c r="AR52" s="26" t="str">
        <f aca="false">IF($A52="","",IF(INDEX(Muster!$C$10:$BF$10,1,MOD($A52-Einstellungen!$C$6,Einstellungen!$C$7)+1)="","-",INDEX(Muster!$C$10:$BF$10,1,MOD($A52-Einstellungen!$C$6,Einstellungen!$C$7)+1)))</f>
        <v>-</v>
      </c>
      <c r="AS52" s="27" t="n">
        <f aca="false">IF($A52="","",IFERROR(VLOOKUP(AR52,Schichten!$A$5:$G$24,6,FALSE()),0))</f>
        <v>0</v>
      </c>
      <c r="AT52" s="27" t="n">
        <f aca="false">IF($A52="","",IFERROR(VLOOKUP(AR52,Schichten!$A$5:$G$24,7,FALSE()),0))</f>
        <v>0</v>
      </c>
      <c r="AU52" s="28" t="str">
        <f aca="false">IF($A52="","",IF(N(AS52)=0,"",$A52+VLOOKUP(AR52,Schichten!$A$5:$G$24,3,FALSE())))</f>
        <v/>
      </c>
      <c r="AV52" s="28" t="str">
        <f aca="false">IF(AU52="","",$A52+VLOOKUP(AR52,Schichten!$A$5:$G$24,4,FALSE())+IF(VLOOKUP(AR52,Schichten!$A$5:$G$24,4,FALSE())&lt;=VLOOKUP(AR52,Schichten!$A$5:$G$24,3,FALSE()),1,0))</f>
        <v/>
      </c>
      <c r="AW52" s="28" t="str">
        <f aca="false">IF($A52="","",IF(N(AS51)&gt;0,AV51,AW51))</f>
        <v/>
      </c>
      <c r="AX52" s="27" t="str">
        <f aca="false">IF(OR(AU52="",AW52=""),"",(AU52-AW52)*24)</f>
        <v/>
      </c>
      <c r="AY52" s="21" t="n">
        <f aca="false">IF($A52="","",IF(N(AS52)&gt;0,N(AY51)+1,0))</f>
        <v>0</v>
      </c>
      <c r="AZ52" s="21" t="n">
        <f aca="false">IF($A52="","",IF(N(AT52)&gt;0,N(AZ51)+1,0))</f>
        <v>0</v>
      </c>
      <c r="BA52" s="21" t="str">
        <f aca="false">IF($A52="","",IF(WEEKDAY($A52,2)&lt;&gt;7,"",IF(AND(OR(AU52="",N(AU52)&gt;=$A52+16/24,N(AV52)&lt;=$A52+6/24),OR(AW52="",N(AW52)&lt;=$A52+6/24)),1,0)))</f>
        <v/>
      </c>
    </row>
    <row r="53" customFormat="false" ht="15" hidden="false" customHeight="false" outlineLevel="0" collapsed="false">
      <c r="A53" s="25" t="n">
        <f aca="false">IF(YEAR(DATE(Einstellungen!$C$4,1,1)+48)=Einstellungen!$C$4,DATE(Einstellungen!$C$4,1,1)+48,"")</f>
        <v>46436</v>
      </c>
      <c r="B53" s="26" t="str">
        <f aca="false">IF($A53="","",CHOOSE(WEEKDAY($A53,2),"Mo","Di","Mi","Do","Fr","Sa","So"))</f>
        <v>Do</v>
      </c>
      <c r="C53" s="26" t="n">
        <f aca="false">IF($A53="","",MONTH($A53))</f>
        <v>2</v>
      </c>
      <c r="D53" s="26" t="str">
        <f aca="false">IF($A53="","",IF(INDEX(Muster!$C$6:$BF$6,1,MOD($A53-Einstellungen!$C$6,Einstellungen!$C$7)+1)="","-",INDEX(Muster!$C$6:$BF$6,1,MOD($A53-Einstellungen!$C$6,Einstellungen!$C$7)+1)))</f>
        <v>N</v>
      </c>
      <c r="E53" s="27" t="n">
        <f aca="false">IF($A53="","",IFERROR(VLOOKUP(D53,Schichten!$A$5:$G$24,6,FALSE()),0))</f>
        <v>8</v>
      </c>
      <c r="F53" s="27" t="n">
        <f aca="false">IF($A53="","",IFERROR(VLOOKUP(D53,Schichten!$A$5:$G$24,7,FALSE()),0))</f>
        <v>7</v>
      </c>
      <c r="G53" s="28" t="n">
        <f aca="false">IF($A53="","",IF(N(E53)=0,"",$A53+VLOOKUP(D53,Schichten!$A$5:$G$24,3,FALSE())))</f>
        <v>46436.9166666667</v>
      </c>
      <c r="H53" s="28" t="n">
        <f aca="false">IF(G53="","",$A53+VLOOKUP(D53,Schichten!$A$5:$G$24,4,FALSE())+IF(VLOOKUP(D53,Schichten!$A$5:$G$24,4,FALSE())&lt;=VLOOKUP(D53,Schichten!$A$5:$G$24,3,FALSE()),1,0))</f>
        <v>46437.25</v>
      </c>
      <c r="I53" s="28" t="n">
        <f aca="false">IF($A53="","",IF(N(E52)&gt;0,H52,I52))</f>
        <v>46436.25</v>
      </c>
      <c r="J53" s="27" t="n">
        <f aca="false">IF(OR(G53="",I53=""),"",(G53-I53)*24)</f>
        <v>16</v>
      </c>
      <c r="K53" s="21" t="n">
        <f aca="false">IF($A53="","",IF(N(E53)&gt;0,N(K52)+1,0))</f>
        <v>6</v>
      </c>
      <c r="L53" s="21" t="n">
        <f aca="false">IF($A53="","",IF(N(F53)&gt;0,N(L52)+1,0))</f>
        <v>2</v>
      </c>
      <c r="M53" s="21" t="str">
        <f aca="false">IF($A53="","",IF(WEEKDAY($A53,2)&lt;&gt;7,"",IF(AND(OR(G53="",N(G53)&gt;=$A53+16/24,N(H53)&lt;=$A53+6/24),OR(I53="",N(I53)&lt;=$A53+6/24)),1,0)))</f>
        <v/>
      </c>
      <c r="N53" s="26" t="str">
        <f aca="false">IF($A53="","",IF(INDEX(Muster!$C$7:$BF$7,1,MOD($A53-Einstellungen!$C$6,Einstellungen!$C$7)+1)="","-",INDEX(Muster!$C$7:$BF$7,1,MOD($A53-Einstellungen!$C$6,Einstellungen!$C$7)+1)))</f>
        <v>S</v>
      </c>
      <c r="O53" s="27" t="n">
        <f aca="false">IF($A53="","",IFERROR(VLOOKUP(N53,Schichten!$A$5:$G$24,6,FALSE()),0))</f>
        <v>8</v>
      </c>
      <c r="P53" s="27" t="n">
        <f aca="false">IF($A53="","",IFERROR(VLOOKUP(N53,Schichten!$A$5:$G$24,7,FALSE()),0))</f>
        <v>0</v>
      </c>
      <c r="Q53" s="28" t="n">
        <f aca="false">IF($A53="","",IF(N(O53)=0,"",$A53+VLOOKUP(N53,Schichten!$A$5:$G$24,3,FALSE())))</f>
        <v>46436.5833333333</v>
      </c>
      <c r="R53" s="28" t="n">
        <f aca="false">IF(Q53="","",$A53+VLOOKUP(N53,Schichten!$A$5:$G$24,4,FALSE())+IF(VLOOKUP(N53,Schichten!$A$5:$G$24,4,FALSE())&lt;=VLOOKUP(N53,Schichten!$A$5:$G$24,3,FALSE()),1,0))</f>
        <v>46436.9166666667</v>
      </c>
      <c r="S53" s="28" t="n">
        <f aca="false">IF($A53="","",IF(N(O52)&gt;0,R52,S52))</f>
        <v>46435.9166666667</v>
      </c>
      <c r="T53" s="27" t="n">
        <f aca="false">IF(OR(Q53="",S53=""),"",(Q53-S53)*24)</f>
        <v>16</v>
      </c>
      <c r="U53" s="21" t="n">
        <f aca="false">IF($A53="","",IF(N(O53)&gt;0,N(U52)+1,0))</f>
        <v>4</v>
      </c>
      <c r="V53" s="21" t="n">
        <f aca="false">IF($A53="","",IF(N(P53)&gt;0,N(V52)+1,0))</f>
        <v>0</v>
      </c>
      <c r="W53" s="21" t="str">
        <f aca="false">IF($A53="","",IF(WEEKDAY($A53,2)&lt;&gt;7,"",IF(AND(OR(Q53="",N(Q53)&gt;=$A53+16/24,N(R53)&lt;=$A53+6/24),OR(S53="",N(S53)&lt;=$A53+6/24)),1,0)))</f>
        <v/>
      </c>
      <c r="X53" s="26" t="str">
        <f aca="false">IF($A53="","",IF(INDEX(Muster!$C$8:$BF$8,1,MOD($A53-Einstellungen!$C$6,Einstellungen!$C$7)+1)="","-",INDEX(Muster!$C$8:$BF$8,1,MOD($A53-Einstellungen!$C$6,Einstellungen!$C$7)+1)))</f>
        <v>F</v>
      </c>
      <c r="Y53" s="27" t="n">
        <f aca="false">IF($A53="","",IFERROR(VLOOKUP(X53,Schichten!$A$5:$G$24,6,FALSE()),0))</f>
        <v>8</v>
      </c>
      <c r="Z53" s="27" t="n">
        <f aca="false">IF($A53="","",IFERROR(VLOOKUP(X53,Schichten!$A$5:$G$24,7,FALSE()),0))</f>
        <v>0</v>
      </c>
      <c r="AA53" s="28" t="n">
        <f aca="false">IF($A53="","",IF(N(Y53)=0,"",$A53+VLOOKUP(X53,Schichten!$A$5:$G$24,3,FALSE())))</f>
        <v>46436.25</v>
      </c>
      <c r="AB53" s="28" t="n">
        <f aca="false">IF(AA53="","",$A53+VLOOKUP(X53,Schichten!$A$5:$G$24,4,FALSE())+IF(VLOOKUP(X53,Schichten!$A$5:$G$24,4,FALSE())&lt;=VLOOKUP(X53,Schichten!$A$5:$G$24,3,FALSE()),1,0))</f>
        <v>46436.5833333333</v>
      </c>
      <c r="AC53" s="28" t="n">
        <f aca="false">IF($A53="","",IF(N(Y52)&gt;0,AB52,AC52))</f>
        <v>46435.5833333333</v>
      </c>
      <c r="AD53" s="27" t="n">
        <f aca="false">IF(OR(AA53="",AC53=""),"",(AA53-AC53)*24)</f>
        <v>16</v>
      </c>
      <c r="AE53" s="21" t="n">
        <f aca="false">IF($A53="","",IF(N(Y53)&gt;0,N(AE52)+1,0))</f>
        <v>2</v>
      </c>
      <c r="AF53" s="21" t="n">
        <f aca="false">IF($A53="","",IF(N(Z53)&gt;0,N(AF52)+1,0))</f>
        <v>0</v>
      </c>
      <c r="AG53" s="21" t="str">
        <f aca="false">IF($A53="","",IF(WEEKDAY($A53,2)&lt;&gt;7,"",IF(AND(OR(AA53="",N(AA53)&gt;=$A53+16/24,N(AB53)&lt;=$A53+6/24),OR(AC53="",N(AC53)&lt;=$A53+6/24)),1,0)))</f>
        <v/>
      </c>
      <c r="AH53" s="26" t="str">
        <f aca="false">IF($A53="","",IF(INDEX(Muster!$C$9:$BF$9,1,MOD($A53-Einstellungen!$C$6,Einstellungen!$C$7)+1)="","-",INDEX(Muster!$C$9:$BF$9,1,MOD($A53-Einstellungen!$C$6,Einstellungen!$C$7)+1)))</f>
        <v>-</v>
      </c>
      <c r="AI53" s="27" t="n">
        <f aca="false">IF($A53="","",IFERROR(VLOOKUP(AH53,Schichten!$A$5:$G$24,6,FALSE()),0))</f>
        <v>0</v>
      </c>
      <c r="AJ53" s="27" t="n">
        <f aca="false">IF($A53="","",IFERROR(VLOOKUP(AH53,Schichten!$A$5:$G$24,7,FALSE()),0))</f>
        <v>0</v>
      </c>
      <c r="AK53" s="28" t="str">
        <f aca="false">IF($A53="","",IF(N(AI53)=0,"",$A53+VLOOKUP(AH53,Schichten!$A$5:$G$24,3,FALSE())))</f>
        <v/>
      </c>
      <c r="AL53" s="28" t="str">
        <f aca="false">IF(AK53="","",$A53+VLOOKUP(AH53,Schichten!$A$5:$G$24,4,FALSE())+IF(VLOOKUP(AH53,Schichten!$A$5:$G$24,4,FALSE())&lt;=VLOOKUP(AH53,Schichten!$A$5:$G$24,3,FALSE()),1,0))</f>
        <v/>
      </c>
      <c r="AM53" s="28" t="n">
        <f aca="false">IF($A53="","",IF(N(AI52)&gt;0,AL52,AM52))</f>
        <v>46435.25</v>
      </c>
      <c r="AN53" s="27" t="str">
        <f aca="false">IF(OR(AK53="",AM53=""),"",(AK53-AM53)*24)</f>
        <v/>
      </c>
      <c r="AO53" s="21" t="n">
        <f aca="false">IF($A53="","",IF(N(AI53)&gt;0,N(AO52)+1,0))</f>
        <v>0</v>
      </c>
      <c r="AP53" s="21" t="n">
        <f aca="false">IF($A53="","",IF(N(AJ53)&gt;0,N(AP52)+1,0))</f>
        <v>0</v>
      </c>
      <c r="AQ53" s="21" t="str">
        <f aca="false">IF($A53="","",IF(WEEKDAY($A53,2)&lt;&gt;7,"",IF(AND(OR(AK53="",N(AK53)&gt;=$A53+16/24,N(AL53)&lt;=$A53+6/24),OR(AM53="",N(AM53)&lt;=$A53+6/24)),1,0)))</f>
        <v/>
      </c>
      <c r="AR53" s="26" t="str">
        <f aca="false">IF($A53="","",IF(INDEX(Muster!$C$10:$BF$10,1,MOD($A53-Einstellungen!$C$6,Einstellungen!$C$7)+1)="","-",INDEX(Muster!$C$10:$BF$10,1,MOD($A53-Einstellungen!$C$6,Einstellungen!$C$7)+1)))</f>
        <v>-</v>
      </c>
      <c r="AS53" s="27" t="n">
        <f aca="false">IF($A53="","",IFERROR(VLOOKUP(AR53,Schichten!$A$5:$G$24,6,FALSE()),0))</f>
        <v>0</v>
      </c>
      <c r="AT53" s="27" t="n">
        <f aca="false">IF($A53="","",IFERROR(VLOOKUP(AR53,Schichten!$A$5:$G$24,7,FALSE()),0))</f>
        <v>0</v>
      </c>
      <c r="AU53" s="28" t="str">
        <f aca="false">IF($A53="","",IF(N(AS53)=0,"",$A53+VLOOKUP(AR53,Schichten!$A$5:$G$24,3,FALSE())))</f>
        <v/>
      </c>
      <c r="AV53" s="28" t="str">
        <f aca="false">IF(AU53="","",$A53+VLOOKUP(AR53,Schichten!$A$5:$G$24,4,FALSE())+IF(VLOOKUP(AR53,Schichten!$A$5:$G$24,4,FALSE())&lt;=VLOOKUP(AR53,Schichten!$A$5:$G$24,3,FALSE()),1,0))</f>
        <v/>
      </c>
      <c r="AW53" s="28" t="str">
        <f aca="false">IF($A53="","",IF(N(AS52)&gt;0,AV52,AW52))</f>
        <v/>
      </c>
      <c r="AX53" s="27" t="str">
        <f aca="false">IF(OR(AU53="",AW53=""),"",(AU53-AW53)*24)</f>
        <v/>
      </c>
      <c r="AY53" s="21" t="n">
        <f aca="false">IF($A53="","",IF(N(AS53)&gt;0,N(AY52)+1,0))</f>
        <v>0</v>
      </c>
      <c r="AZ53" s="21" t="n">
        <f aca="false">IF($A53="","",IF(N(AT53)&gt;0,N(AZ52)+1,0))</f>
        <v>0</v>
      </c>
      <c r="BA53" s="21" t="str">
        <f aca="false">IF($A53="","",IF(WEEKDAY($A53,2)&lt;&gt;7,"",IF(AND(OR(AU53="",N(AU53)&gt;=$A53+16/24,N(AV53)&lt;=$A53+6/24),OR(AW53="",N(AW53)&lt;=$A53+6/24)),1,0)))</f>
        <v/>
      </c>
    </row>
    <row r="54" customFormat="false" ht="15" hidden="false" customHeight="false" outlineLevel="0" collapsed="false">
      <c r="A54" s="25" t="n">
        <f aca="false">IF(YEAR(DATE(Einstellungen!$C$4,1,1)+49)=Einstellungen!$C$4,DATE(Einstellungen!$C$4,1,1)+49,"")</f>
        <v>46437</v>
      </c>
      <c r="B54" s="26" t="str">
        <f aca="false">IF($A54="","",CHOOSE(WEEKDAY($A54,2),"Mo","Di","Mi","Do","Fr","Sa","So"))</f>
        <v>Fr</v>
      </c>
      <c r="C54" s="26" t="n">
        <f aca="false">IF($A54="","",MONTH($A54))</f>
        <v>2</v>
      </c>
      <c r="D54" s="26" t="str">
        <f aca="false">IF($A54="","",IF(INDEX(Muster!$C$6:$BF$6,1,MOD($A54-Einstellungen!$C$6,Einstellungen!$C$7)+1)="","-",INDEX(Muster!$C$6:$BF$6,1,MOD($A54-Einstellungen!$C$6,Einstellungen!$C$7)+1)))</f>
        <v>-</v>
      </c>
      <c r="E54" s="27" t="n">
        <f aca="false">IF($A54="","",IFERROR(VLOOKUP(D54,Schichten!$A$5:$G$24,6,FALSE()),0))</f>
        <v>0</v>
      </c>
      <c r="F54" s="27" t="n">
        <f aca="false">IF($A54="","",IFERROR(VLOOKUP(D54,Schichten!$A$5:$G$24,7,FALSE()),0))</f>
        <v>0</v>
      </c>
      <c r="G54" s="28" t="str">
        <f aca="false">IF($A54="","",IF(N(E54)=0,"",$A54+VLOOKUP(D54,Schichten!$A$5:$G$24,3,FALSE())))</f>
        <v/>
      </c>
      <c r="H54" s="28" t="str">
        <f aca="false">IF(G54="","",$A54+VLOOKUP(D54,Schichten!$A$5:$G$24,4,FALSE())+IF(VLOOKUP(D54,Schichten!$A$5:$G$24,4,FALSE())&lt;=VLOOKUP(D54,Schichten!$A$5:$G$24,3,FALSE()),1,0))</f>
        <v/>
      </c>
      <c r="I54" s="28" t="n">
        <f aca="false">IF($A54="","",IF(N(E53)&gt;0,H53,I53))</f>
        <v>46437.25</v>
      </c>
      <c r="J54" s="27" t="str">
        <f aca="false">IF(OR(G54="",I54=""),"",(G54-I54)*24)</f>
        <v/>
      </c>
      <c r="K54" s="21" t="n">
        <f aca="false">IF($A54="","",IF(N(E54)&gt;0,N(K53)+1,0))</f>
        <v>0</v>
      </c>
      <c r="L54" s="21" t="n">
        <f aca="false">IF($A54="","",IF(N(F54)&gt;0,N(L53)+1,0))</f>
        <v>0</v>
      </c>
      <c r="M54" s="21" t="str">
        <f aca="false">IF($A54="","",IF(WEEKDAY($A54,2)&lt;&gt;7,"",IF(AND(OR(G54="",N(G54)&gt;=$A54+16/24,N(H54)&lt;=$A54+6/24),OR(I54="",N(I54)&lt;=$A54+6/24)),1,0)))</f>
        <v/>
      </c>
      <c r="N54" s="26" t="str">
        <f aca="false">IF($A54="","",IF(INDEX(Muster!$C$7:$BF$7,1,MOD($A54-Einstellungen!$C$6,Einstellungen!$C$7)+1)="","-",INDEX(Muster!$C$7:$BF$7,1,MOD($A54-Einstellungen!$C$6,Einstellungen!$C$7)+1)))</f>
        <v>N</v>
      </c>
      <c r="O54" s="27" t="n">
        <f aca="false">IF($A54="","",IFERROR(VLOOKUP(N54,Schichten!$A$5:$G$24,6,FALSE()),0))</f>
        <v>8</v>
      </c>
      <c r="P54" s="27" t="n">
        <f aca="false">IF($A54="","",IFERROR(VLOOKUP(N54,Schichten!$A$5:$G$24,7,FALSE()),0))</f>
        <v>7</v>
      </c>
      <c r="Q54" s="28" t="n">
        <f aca="false">IF($A54="","",IF(N(O54)=0,"",$A54+VLOOKUP(N54,Schichten!$A$5:$G$24,3,FALSE())))</f>
        <v>46437.9166666667</v>
      </c>
      <c r="R54" s="28" t="n">
        <f aca="false">IF(Q54="","",$A54+VLOOKUP(N54,Schichten!$A$5:$G$24,4,FALSE())+IF(VLOOKUP(N54,Schichten!$A$5:$G$24,4,FALSE())&lt;=VLOOKUP(N54,Schichten!$A$5:$G$24,3,FALSE()),1,0))</f>
        <v>46438.25</v>
      </c>
      <c r="S54" s="28" t="n">
        <f aca="false">IF($A54="","",IF(N(O53)&gt;0,R53,S53))</f>
        <v>46436.9166666667</v>
      </c>
      <c r="T54" s="27" t="n">
        <f aca="false">IF(OR(Q54="",S54=""),"",(Q54-S54)*24)</f>
        <v>24</v>
      </c>
      <c r="U54" s="21" t="n">
        <f aca="false">IF($A54="","",IF(N(O54)&gt;0,N(U53)+1,0))</f>
        <v>5</v>
      </c>
      <c r="V54" s="21" t="n">
        <f aca="false">IF($A54="","",IF(N(P54)&gt;0,N(V53)+1,0))</f>
        <v>1</v>
      </c>
      <c r="W54" s="21" t="str">
        <f aca="false">IF($A54="","",IF(WEEKDAY($A54,2)&lt;&gt;7,"",IF(AND(OR(Q54="",N(Q54)&gt;=$A54+16/24,N(R54)&lt;=$A54+6/24),OR(S54="",N(S54)&lt;=$A54+6/24)),1,0)))</f>
        <v/>
      </c>
      <c r="X54" s="26" t="str">
        <f aca="false">IF($A54="","",IF(INDEX(Muster!$C$8:$BF$8,1,MOD($A54-Einstellungen!$C$6,Einstellungen!$C$7)+1)="","-",INDEX(Muster!$C$8:$BF$8,1,MOD($A54-Einstellungen!$C$6,Einstellungen!$C$7)+1)))</f>
        <v>S</v>
      </c>
      <c r="Y54" s="27" t="n">
        <f aca="false">IF($A54="","",IFERROR(VLOOKUP(X54,Schichten!$A$5:$G$24,6,FALSE()),0))</f>
        <v>8</v>
      </c>
      <c r="Z54" s="27" t="n">
        <f aca="false">IF($A54="","",IFERROR(VLOOKUP(X54,Schichten!$A$5:$G$24,7,FALSE()),0))</f>
        <v>0</v>
      </c>
      <c r="AA54" s="28" t="n">
        <f aca="false">IF($A54="","",IF(N(Y54)=0,"",$A54+VLOOKUP(X54,Schichten!$A$5:$G$24,3,FALSE())))</f>
        <v>46437.5833333333</v>
      </c>
      <c r="AB54" s="28" t="n">
        <f aca="false">IF(AA54="","",$A54+VLOOKUP(X54,Schichten!$A$5:$G$24,4,FALSE())+IF(VLOOKUP(X54,Schichten!$A$5:$G$24,4,FALSE())&lt;=VLOOKUP(X54,Schichten!$A$5:$G$24,3,FALSE()),1,0))</f>
        <v>46437.9166666667</v>
      </c>
      <c r="AC54" s="28" t="n">
        <f aca="false">IF($A54="","",IF(N(Y53)&gt;0,AB53,AC53))</f>
        <v>46436.5833333333</v>
      </c>
      <c r="AD54" s="27" t="n">
        <f aca="false">IF(OR(AA54="",AC54=""),"",(AA54-AC54)*24)</f>
        <v>24</v>
      </c>
      <c r="AE54" s="21" t="n">
        <f aca="false">IF($A54="","",IF(N(Y54)&gt;0,N(AE53)+1,0))</f>
        <v>3</v>
      </c>
      <c r="AF54" s="21" t="n">
        <f aca="false">IF($A54="","",IF(N(Z54)&gt;0,N(AF53)+1,0))</f>
        <v>0</v>
      </c>
      <c r="AG54" s="21" t="str">
        <f aca="false">IF($A54="","",IF(WEEKDAY($A54,2)&lt;&gt;7,"",IF(AND(OR(AA54="",N(AA54)&gt;=$A54+16/24,N(AB54)&lt;=$A54+6/24),OR(AC54="",N(AC54)&lt;=$A54+6/24)),1,0)))</f>
        <v/>
      </c>
      <c r="AH54" s="26" t="str">
        <f aca="false">IF($A54="","",IF(INDEX(Muster!$C$9:$BF$9,1,MOD($A54-Einstellungen!$C$6,Einstellungen!$C$7)+1)="","-",INDEX(Muster!$C$9:$BF$9,1,MOD($A54-Einstellungen!$C$6,Einstellungen!$C$7)+1)))</f>
        <v>F</v>
      </c>
      <c r="AI54" s="27" t="n">
        <f aca="false">IF($A54="","",IFERROR(VLOOKUP(AH54,Schichten!$A$5:$G$24,6,FALSE()),0))</f>
        <v>8</v>
      </c>
      <c r="AJ54" s="27" t="n">
        <f aca="false">IF($A54="","",IFERROR(VLOOKUP(AH54,Schichten!$A$5:$G$24,7,FALSE()),0))</f>
        <v>0</v>
      </c>
      <c r="AK54" s="28" t="n">
        <f aca="false">IF($A54="","",IF(N(AI54)=0,"",$A54+VLOOKUP(AH54,Schichten!$A$5:$G$24,3,FALSE())))</f>
        <v>46437.25</v>
      </c>
      <c r="AL54" s="28" t="n">
        <f aca="false">IF(AK54="","",$A54+VLOOKUP(AH54,Schichten!$A$5:$G$24,4,FALSE())+IF(VLOOKUP(AH54,Schichten!$A$5:$G$24,4,FALSE())&lt;=VLOOKUP(AH54,Schichten!$A$5:$G$24,3,FALSE()),1,0))</f>
        <v>46437.5833333333</v>
      </c>
      <c r="AM54" s="28" t="n">
        <f aca="false">IF($A54="","",IF(N(AI53)&gt;0,AL53,AM53))</f>
        <v>46435.25</v>
      </c>
      <c r="AN54" s="27" t="n">
        <f aca="false">IF(OR(AK54="",AM54=""),"",(AK54-AM54)*24)</f>
        <v>48</v>
      </c>
      <c r="AO54" s="21" t="n">
        <f aca="false">IF($A54="","",IF(N(AI54)&gt;0,N(AO53)+1,0))</f>
        <v>1</v>
      </c>
      <c r="AP54" s="21" t="n">
        <f aca="false">IF($A54="","",IF(N(AJ54)&gt;0,N(AP53)+1,0))</f>
        <v>0</v>
      </c>
      <c r="AQ54" s="21" t="str">
        <f aca="false">IF($A54="","",IF(WEEKDAY($A54,2)&lt;&gt;7,"",IF(AND(OR(AK54="",N(AK54)&gt;=$A54+16/24,N(AL54)&lt;=$A54+6/24),OR(AM54="",N(AM54)&lt;=$A54+6/24)),1,0)))</f>
        <v/>
      </c>
      <c r="AR54" s="26" t="str">
        <f aca="false">IF($A54="","",IF(INDEX(Muster!$C$10:$BF$10,1,MOD($A54-Einstellungen!$C$6,Einstellungen!$C$7)+1)="","-",INDEX(Muster!$C$10:$BF$10,1,MOD($A54-Einstellungen!$C$6,Einstellungen!$C$7)+1)))</f>
        <v>-</v>
      </c>
      <c r="AS54" s="27" t="n">
        <f aca="false">IF($A54="","",IFERROR(VLOOKUP(AR54,Schichten!$A$5:$G$24,6,FALSE()),0))</f>
        <v>0</v>
      </c>
      <c r="AT54" s="27" t="n">
        <f aca="false">IF($A54="","",IFERROR(VLOOKUP(AR54,Schichten!$A$5:$G$24,7,FALSE()),0))</f>
        <v>0</v>
      </c>
      <c r="AU54" s="28" t="str">
        <f aca="false">IF($A54="","",IF(N(AS54)=0,"",$A54+VLOOKUP(AR54,Schichten!$A$5:$G$24,3,FALSE())))</f>
        <v/>
      </c>
      <c r="AV54" s="28" t="str">
        <f aca="false">IF(AU54="","",$A54+VLOOKUP(AR54,Schichten!$A$5:$G$24,4,FALSE())+IF(VLOOKUP(AR54,Schichten!$A$5:$G$24,4,FALSE())&lt;=VLOOKUP(AR54,Schichten!$A$5:$G$24,3,FALSE()),1,0))</f>
        <v/>
      </c>
      <c r="AW54" s="28" t="str">
        <f aca="false">IF($A54="","",IF(N(AS53)&gt;0,AV53,AW53))</f>
        <v/>
      </c>
      <c r="AX54" s="27" t="str">
        <f aca="false">IF(OR(AU54="",AW54=""),"",(AU54-AW54)*24)</f>
        <v/>
      </c>
      <c r="AY54" s="21" t="n">
        <f aca="false">IF($A54="","",IF(N(AS54)&gt;0,N(AY53)+1,0))</f>
        <v>0</v>
      </c>
      <c r="AZ54" s="21" t="n">
        <f aca="false">IF($A54="","",IF(N(AT54)&gt;0,N(AZ53)+1,0))</f>
        <v>0</v>
      </c>
      <c r="BA54" s="21" t="str">
        <f aca="false">IF($A54="","",IF(WEEKDAY($A54,2)&lt;&gt;7,"",IF(AND(OR(AU54="",N(AU54)&gt;=$A54+16/24,N(AV54)&lt;=$A54+6/24),OR(AW54="",N(AW54)&lt;=$A54+6/24)),1,0)))</f>
        <v/>
      </c>
    </row>
    <row r="55" customFormat="false" ht="15" hidden="false" customHeight="false" outlineLevel="0" collapsed="false">
      <c r="A55" s="25" t="n">
        <f aca="false">IF(YEAR(DATE(Einstellungen!$C$4,1,1)+50)=Einstellungen!$C$4,DATE(Einstellungen!$C$4,1,1)+50,"")</f>
        <v>46438</v>
      </c>
      <c r="B55" s="26" t="str">
        <f aca="false">IF($A55="","",CHOOSE(WEEKDAY($A55,2),"Mo","Di","Mi","Do","Fr","Sa","So"))</f>
        <v>Sa</v>
      </c>
      <c r="C55" s="26" t="n">
        <f aca="false">IF($A55="","",MONTH($A55))</f>
        <v>2</v>
      </c>
      <c r="D55" s="26" t="str">
        <f aca="false">IF($A55="","",IF(INDEX(Muster!$C$6:$BF$6,1,MOD($A55-Einstellungen!$C$6,Einstellungen!$C$7)+1)="","-",INDEX(Muster!$C$6:$BF$6,1,MOD($A55-Einstellungen!$C$6,Einstellungen!$C$7)+1)))</f>
        <v>-</v>
      </c>
      <c r="E55" s="27" t="n">
        <f aca="false">IF($A55="","",IFERROR(VLOOKUP(D55,Schichten!$A$5:$G$24,6,FALSE()),0))</f>
        <v>0</v>
      </c>
      <c r="F55" s="27" t="n">
        <f aca="false">IF($A55="","",IFERROR(VLOOKUP(D55,Schichten!$A$5:$G$24,7,FALSE()),0))</f>
        <v>0</v>
      </c>
      <c r="G55" s="28" t="str">
        <f aca="false">IF($A55="","",IF(N(E55)=0,"",$A55+VLOOKUP(D55,Schichten!$A$5:$G$24,3,FALSE())))</f>
        <v/>
      </c>
      <c r="H55" s="28" t="str">
        <f aca="false">IF(G55="","",$A55+VLOOKUP(D55,Schichten!$A$5:$G$24,4,FALSE())+IF(VLOOKUP(D55,Schichten!$A$5:$G$24,4,FALSE())&lt;=VLOOKUP(D55,Schichten!$A$5:$G$24,3,FALSE()),1,0))</f>
        <v/>
      </c>
      <c r="I55" s="28" t="n">
        <f aca="false">IF($A55="","",IF(N(E54)&gt;0,H54,I54))</f>
        <v>46437.25</v>
      </c>
      <c r="J55" s="27" t="str">
        <f aca="false">IF(OR(G55="",I55=""),"",(G55-I55)*24)</f>
        <v/>
      </c>
      <c r="K55" s="21" t="n">
        <f aca="false">IF($A55="","",IF(N(E55)&gt;0,N(K54)+1,0))</f>
        <v>0</v>
      </c>
      <c r="L55" s="21" t="n">
        <f aca="false">IF($A55="","",IF(N(F55)&gt;0,N(L54)+1,0))</f>
        <v>0</v>
      </c>
      <c r="M55" s="21" t="str">
        <f aca="false">IF($A55="","",IF(WEEKDAY($A55,2)&lt;&gt;7,"",IF(AND(OR(G55="",N(G55)&gt;=$A55+16/24,N(H55)&lt;=$A55+6/24),OR(I55="",N(I55)&lt;=$A55+6/24)),1,0)))</f>
        <v/>
      </c>
      <c r="N55" s="26" t="str">
        <f aca="false">IF($A55="","",IF(INDEX(Muster!$C$7:$BF$7,1,MOD($A55-Einstellungen!$C$6,Einstellungen!$C$7)+1)="","-",INDEX(Muster!$C$7:$BF$7,1,MOD($A55-Einstellungen!$C$6,Einstellungen!$C$7)+1)))</f>
        <v>N</v>
      </c>
      <c r="O55" s="27" t="n">
        <f aca="false">IF($A55="","",IFERROR(VLOOKUP(N55,Schichten!$A$5:$G$24,6,FALSE()),0))</f>
        <v>8</v>
      </c>
      <c r="P55" s="27" t="n">
        <f aca="false">IF($A55="","",IFERROR(VLOOKUP(N55,Schichten!$A$5:$G$24,7,FALSE()),0))</f>
        <v>7</v>
      </c>
      <c r="Q55" s="28" t="n">
        <f aca="false">IF($A55="","",IF(N(O55)=0,"",$A55+VLOOKUP(N55,Schichten!$A$5:$G$24,3,FALSE())))</f>
        <v>46438.9166666667</v>
      </c>
      <c r="R55" s="28" t="n">
        <f aca="false">IF(Q55="","",$A55+VLOOKUP(N55,Schichten!$A$5:$G$24,4,FALSE())+IF(VLOOKUP(N55,Schichten!$A$5:$G$24,4,FALSE())&lt;=VLOOKUP(N55,Schichten!$A$5:$G$24,3,FALSE()),1,0))</f>
        <v>46439.25</v>
      </c>
      <c r="S55" s="28" t="n">
        <f aca="false">IF($A55="","",IF(N(O54)&gt;0,R54,S54))</f>
        <v>46438.25</v>
      </c>
      <c r="T55" s="27" t="n">
        <f aca="false">IF(OR(Q55="",S55=""),"",(Q55-S55)*24)</f>
        <v>16</v>
      </c>
      <c r="U55" s="21" t="n">
        <f aca="false">IF($A55="","",IF(N(O55)&gt;0,N(U54)+1,0))</f>
        <v>6</v>
      </c>
      <c r="V55" s="21" t="n">
        <f aca="false">IF($A55="","",IF(N(P55)&gt;0,N(V54)+1,0))</f>
        <v>2</v>
      </c>
      <c r="W55" s="21" t="str">
        <f aca="false">IF($A55="","",IF(WEEKDAY($A55,2)&lt;&gt;7,"",IF(AND(OR(Q55="",N(Q55)&gt;=$A55+16/24,N(R55)&lt;=$A55+6/24),OR(S55="",N(S55)&lt;=$A55+6/24)),1,0)))</f>
        <v/>
      </c>
      <c r="X55" s="26" t="str">
        <f aca="false">IF($A55="","",IF(INDEX(Muster!$C$8:$BF$8,1,MOD($A55-Einstellungen!$C$6,Einstellungen!$C$7)+1)="","-",INDEX(Muster!$C$8:$BF$8,1,MOD($A55-Einstellungen!$C$6,Einstellungen!$C$7)+1)))</f>
        <v>S</v>
      </c>
      <c r="Y55" s="27" t="n">
        <f aca="false">IF($A55="","",IFERROR(VLOOKUP(X55,Schichten!$A$5:$G$24,6,FALSE()),0))</f>
        <v>8</v>
      </c>
      <c r="Z55" s="27" t="n">
        <f aca="false">IF($A55="","",IFERROR(VLOOKUP(X55,Schichten!$A$5:$G$24,7,FALSE()),0))</f>
        <v>0</v>
      </c>
      <c r="AA55" s="28" t="n">
        <f aca="false">IF($A55="","",IF(N(Y55)=0,"",$A55+VLOOKUP(X55,Schichten!$A$5:$G$24,3,FALSE())))</f>
        <v>46438.5833333333</v>
      </c>
      <c r="AB55" s="28" t="n">
        <f aca="false">IF(AA55="","",$A55+VLOOKUP(X55,Schichten!$A$5:$G$24,4,FALSE())+IF(VLOOKUP(X55,Schichten!$A$5:$G$24,4,FALSE())&lt;=VLOOKUP(X55,Schichten!$A$5:$G$24,3,FALSE()),1,0))</f>
        <v>46438.9166666667</v>
      </c>
      <c r="AC55" s="28" t="n">
        <f aca="false">IF($A55="","",IF(N(Y54)&gt;0,AB54,AC54))</f>
        <v>46437.9166666667</v>
      </c>
      <c r="AD55" s="27" t="n">
        <f aca="false">IF(OR(AA55="",AC55=""),"",(AA55-AC55)*24)</f>
        <v>16</v>
      </c>
      <c r="AE55" s="21" t="n">
        <f aca="false">IF($A55="","",IF(N(Y55)&gt;0,N(AE54)+1,0))</f>
        <v>4</v>
      </c>
      <c r="AF55" s="21" t="n">
        <f aca="false">IF($A55="","",IF(N(Z55)&gt;0,N(AF54)+1,0))</f>
        <v>0</v>
      </c>
      <c r="AG55" s="21" t="str">
        <f aca="false">IF($A55="","",IF(WEEKDAY($A55,2)&lt;&gt;7,"",IF(AND(OR(AA55="",N(AA55)&gt;=$A55+16/24,N(AB55)&lt;=$A55+6/24),OR(AC55="",N(AC55)&lt;=$A55+6/24)),1,0)))</f>
        <v/>
      </c>
      <c r="AH55" s="26" t="str">
        <f aca="false">IF($A55="","",IF(INDEX(Muster!$C$9:$BF$9,1,MOD($A55-Einstellungen!$C$6,Einstellungen!$C$7)+1)="","-",INDEX(Muster!$C$9:$BF$9,1,MOD($A55-Einstellungen!$C$6,Einstellungen!$C$7)+1)))</f>
        <v>F</v>
      </c>
      <c r="AI55" s="27" t="n">
        <f aca="false">IF($A55="","",IFERROR(VLOOKUP(AH55,Schichten!$A$5:$G$24,6,FALSE()),0))</f>
        <v>8</v>
      </c>
      <c r="AJ55" s="27" t="n">
        <f aca="false">IF($A55="","",IFERROR(VLOOKUP(AH55,Schichten!$A$5:$G$24,7,FALSE()),0))</f>
        <v>0</v>
      </c>
      <c r="AK55" s="28" t="n">
        <f aca="false">IF($A55="","",IF(N(AI55)=0,"",$A55+VLOOKUP(AH55,Schichten!$A$5:$G$24,3,FALSE())))</f>
        <v>46438.25</v>
      </c>
      <c r="AL55" s="28" t="n">
        <f aca="false">IF(AK55="","",$A55+VLOOKUP(AH55,Schichten!$A$5:$G$24,4,FALSE())+IF(VLOOKUP(AH55,Schichten!$A$5:$G$24,4,FALSE())&lt;=VLOOKUP(AH55,Schichten!$A$5:$G$24,3,FALSE()),1,0))</f>
        <v>46438.5833333333</v>
      </c>
      <c r="AM55" s="28" t="n">
        <f aca="false">IF($A55="","",IF(N(AI54)&gt;0,AL54,AM54))</f>
        <v>46437.5833333333</v>
      </c>
      <c r="AN55" s="27" t="n">
        <f aca="false">IF(OR(AK55="",AM55=""),"",(AK55-AM55)*24)</f>
        <v>16</v>
      </c>
      <c r="AO55" s="21" t="n">
        <f aca="false">IF($A55="","",IF(N(AI55)&gt;0,N(AO54)+1,0))</f>
        <v>2</v>
      </c>
      <c r="AP55" s="21" t="n">
        <f aca="false">IF($A55="","",IF(N(AJ55)&gt;0,N(AP54)+1,0))</f>
        <v>0</v>
      </c>
      <c r="AQ55" s="21" t="str">
        <f aca="false">IF($A55="","",IF(WEEKDAY($A55,2)&lt;&gt;7,"",IF(AND(OR(AK55="",N(AK55)&gt;=$A55+16/24,N(AL55)&lt;=$A55+6/24),OR(AM55="",N(AM55)&lt;=$A55+6/24)),1,0)))</f>
        <v/>
      </c>
      <c r="AR55" s="26" t="str">
        <f aca="false">IF($A55="","",IF(INDEX(Muster!$C$10:$BF$10,1,MOD($A55-Einstellungen!$C$6,Einstellungen!$C$7)+1)="","-",INDEX(Muster!$C$10:$BF$10,1,MOD($A55-Einstellungen!$C$6,Einstellungen!$C$7)+1)))</f>
        <v>-</v>
      </c>
      <c r="AS55" s="27" t="n">
        <f aca="false">IF($A55="","",IFERROR(VLOOKUP(AR55,Schichten!$A$5:$G$24,6,FALSE()),0))</f>
        <v>0</v>
      </c>
      <c r="AT55" s="27" t="n">
        <f aca="false">IF($A55="","",IFERROR(VLOOKUP(AR55,Schichten!$A$5:$G$24,7,FALSE()),0))</f>
        <v>0</v>
      </c>
      <c r="AU55" s="28" t="str">
        <f aca="false">IF($A55="","",IF(N(AS55)=0,"",$A55+VLOOKUP(AR55,Schichten!$A$5:$G$24,3,FALSE())))</f>
        <v/>
      </c>
      <c r="AV55" s="28" t="str">
        <f aca="false">IF(AU55="","",$A55+VLOOKUP(AR55,Schichten!$A$5:$G$24,4,FALSE())+IF(VLOOKUP(AR55,Schichten!$A$5:$G$24,4,FALSE())&lt;=VLOOKUP(AR55,Schichten!$A$5:$G$24,3,FALSE()),1,0))</f>
        <v/>
      </c>
      <c r="AW55" s="28" t="str">
        <f aca="false">IF($A55="","",IF(N(AS54)&gt;0,AV54,AW54))</f>
        <v/>
      </c>
      <c r="AX55" s="27" t="str">
        <f aca="false">IF(OR(AU55="",AW55=""),"",(AU55-AW55)*24)</f>
        <v/>
      </c>
      <c r="AY55" s="21" t="n">
        <f aca="false">IF($A55="","",IF(N(AS55)&gt;0,N(AY54)+1,0))</f>
        <v>0</v>
      </c>
      <c r="AZ55" s="21" t="n">
        <f aca="false">IF($A55="","",IF(N(AT55)&gt;0,N(AZ54)+1,0))</f>
        <v>0</v>
      </c>
      <c r="BA55" s="21" t="str">
        <f aca="false">IF($A55="","",IF(WEEKDAY($A55,2)&lt;&gt;7,"",IF(AND(OR(AU55="",N(AU55)&gt;=$A55+16/24,N(AV55)&lt;=$A55+6/24),OR(AW55="",N(AW55)&lt;=$A55+6/24)),1,0)))</f>
        <v/>
      </c>
    </row>
    <row r="56" customFormat="false" ht="15" hidden="false" customHeight="false" outlineLevel="0" collapsed="false">
      <c r="A56" s="25" t="n">
        <f aca="false">IF(YEAR(DATE(Einstellungen!$C$4,1,1)+51)=Einstellungen!$C$4,DATE(Einstellungen!$C$4,1,1)+51,"")</f>
        <v>46439</v>
      </c>
      <c r="B56" s="26" t="str">
        <f aca="false">IF($A56="","",CHOOSE(WEEKDAY($A56,2),"Mo","Di","Mi","Do","Fr","Sa","So"))</f>
        <v>So</v>
      </c>
      <c r="C56" s="26" t="n">
        <f aca="false">IF($A56="","",MONTH($A56))</f>
        <v>2</v>
      </c>
      <c r="D56" s="26" t="str">
        <f aca="false">IF($A56="","",IF(INDEX(Muster!$C$6:$BF$6,1,MOD($A56-Einstellungen!$C$6,Einstellungen!$C$7)+1)="","-",INDEX(Muster!$C$6:$BF$6,1,MOD($A56-Einstellungen!$C$6,Einstellungen!$C$7)+1)))</f>
        <v>F</v>
      </c>
      <c r="E56" s="27" t="n">
        <f aca="false">IF($A56="","",IFERROR(VLOOKUP(D56,Schichten!$A$5:$G$24,6,FALSE()),0))</f>
        <v>8</v>
      </c>
      <c r="F56" s="27" t="n">
        <f aca="false">IF($A56="","",IFERROR(VLOOKUP(D56,Schichten!$A$5:$G$24,7,FALSE()),0))</f>
        <v>0</v>
      </c>
      <c r="G56" s="28" t="n">
        <f aca="false">IF($A56="","",IF(N(E56)=0,"",$A56+VLOOKUP(D56,Schichten!$A$5:$G$24,3,FALSE())))</f>
        <v>46439.25</v>
      </c>
      <c r="H56" s="28" t="n">
        <f aca="false">IF(G56="","",$A56+VLOOKUP(D56,Schichten!$A$5:$G$24,4,FALSE())+IF(VLOOKUP(D56,Schichten!$A$5:$G$24,4,FALSE())&lt;=VLOOKUP(D56,Schichten!$A$5:$G$24,3,FALSE()),1,0))</f>
        <v>46439.5833333333</v>
      </c>
      <c r="I56" s="28" t="n">
        <f aca="false">IF($A56="","",IF(N(E55)&gt;0,H55,I55))</f>
        <v>46437.25</v>
      </c>
      <c r="J56" s="27" t="n">
        <f aca="false">IF(OR(G56="",I56=""),"",(G56-I56)*24)</f>
        <v>48</v>
      </c>
      <c r="K56" s="21" t="n">
        <f aca="false">IF($A56="","",IF(N(E56)&gt;0,N(K55)+1,0))</f>
        <v>1</v>
      </c>
      <c r="L56" s="21" t="n">
        <f aca="false">IF($A56="","",IF(N(F56)&gt;0,N(L55)+1,0))</f>
        <v>0</v>
      </c>
      <c r="M56" s="21" t="n">
        <f aca="false">IF($A56="","",IF(WEEKDAY($A56,2)&lt;&gt;7,"",IF(AND(OR(G56="",N(G56)&gt;=$A56+16/24,N(H56)&lt;=$A56+6/24),OR(I56="",N(I56)&lt;=$A56+6/24)),1,0)))</f>
        <v>0</v>
      </c>
      <c r="N56" s="26" t="str">
        <f aca="false">IF($A56="","",IF(INDEX(Muster!$C$7:$BF$7,1,MOD($A56-Einstellungen!$C$6,Einstellungen!$C$7)+1)="","-",INDEX(Muster!$C$7:$BF$7,1,MOD($A56-Einstellungen!$C$6,Einstellungen!$C$7)+1)))</f>
        <v>-</v>
      </c>
      <c r="O56" s="27" t="n">
        <f aca="false">IF($A56="","",IFERROR(VLOOKUP(N56,Schichten!$A$5:$G$24,6,FALSE()),0))</f>
        <v>0</v>
      </c>
      <c r="P56" s="27" t="n">
        <f aca="false">IF($A56="","",IFERROR(VLOOKUP(N56,Schichten!$A$5:$G$24,7,FALSE()),0))</f>
        <v>0</v>
      </c>
      <c r="Q56" s="28" t="str">
        <f aca="false">IF($A56="","",IF(N(O56)=0,"",$A56+VLOOKUP(N56,Schichten!$A$5:$G$24,3,FALSE())))</f>
        <v/>
      </c>
      <c r="R56" s="28" t="str">
        <f aca="false">IF(Q56="","",$A56+VLOOKUP(N56,Schichten!$A$5:$G$24,4,FALSE())+IF(VLOOKUP(N56,Schichten!$A$5:$G$24,4,FALSE())&lt;=VLOOKUP(N56,Schichten!$A$5:$G$24,3,FALSE()),1,0))</f>
        <v/>
      </c>
      <c r="S56" s="28" t="n">
        <f aca="false">IF($A56="","",IF(N(O55)&gt;0,R55,S55))</f>
        <v>46439.25</v>
      </c>
      <c r="T56" s="27" t="str">
        <f aca="false">IF(OR(Q56="",S56=""),"",(Q56-S56)*24)</f>
        <v/>
      </c>
      <c r="U56" s="21" t="n">
        <f aca="false">IF($A56="","",IF(N(O56)&gt;0,N(U55)+1,0))</f>
        <v>0</v>
      </c>
      <c r="V56" s="21" t="n">
        <f aca="false">IF($A56="","",IF(N(P56)&gt;0,N(V55)+1,0))</f>
        <v>0</v>
      </c>
      <c r="W56" s="21" t="n">
        <f aca="false">IF($A56="","",IF(WEEKDAY($A56,2)&lt;&gt;7,"",IF(AND(OR(Q56="",N(Q56)&gt;=$A56+16/24,N(R56)&lt;=$A56+6/24),OR(S56="",N(S56)&lt;=$A56+6/24)),1,0)))</f>
        <v>1</v>
      </c>
      <c r="X56" s="26" t="str">
        <f aca="false">IF($A56="","",IF(INDEX(Muster!$C$8:$BF$8,1,MOD($A56-Einstellungen!$C$6,Einstellungen!$C$7)+1)="","-",INDEX(Muster!$C$8:$BF$8,1,MOD($A56-Einstellungen!$C$6,Einstellungen!$C$7)+1)))</f>
        <v>N</v>
      </c>
      <c r="Y56" s="27" t="n">
        <f aca="false">IF($A56="","",IFERROR(VLOOKUP(X56,Schichten!$A$5:$G$24,6,FALSE()),0))</f>
        <v>8</v>
      </c>
      <c r="Z56" s="27" t="n">
        <f aca="false">IF($A56="","",IFERROR(VLOOKUP(X56,Schichten!$A$5:$G$24,7,FALSE()),0))</f>
        <v>7</v>
      </c>
      <c r="AA56" s="28" t="n">
        <f aca="false">IF($A56="","",IF(N(Y56)=0,"",$A56+VLOOKUP(X56,Schichten!$A$5:$G$24,3,FALSE())))</f>
        <v>46439.9166666667</v>
      </c>
      <c r="AB56" s="28" t="n">
        <f aca="false">IF(AA56="","",$A56+VLOOKUP(X56,Schichten!$A$5:$G$24,4,FALSE())+IF(VLOOKUP(X56,Schichten!$A$5:$G$24,4,FALSE())&lt;=VLOOKUP(X56,Schichten!$A$5:$G$24,3,FALSE()),1,0))</f>
        <v>46440.25</v>
      </c>
      <c r="AC56" s="28" t="n">
        <f aca="false">IF($A56="","",IF(N(Y55)&gt;0,AB55,AC55))</f>
        <v>46438.9166666667</v>
      </c>
      <c r="AD56" s="27" t="n">
        <f aca="false">IF(OR(AA56="",AC56=""),"",(AA56-AC56)*24)</f>
        <v>24</v>
      </c>
      <c r="AE56" s="21" t="n">
        <f aca="false">IF($A56="","",IF(N(Y56)&gt;0,N(AE55)+1,0))</f>
        <v>5</v>
      </c>
      <c r="AF56" s="21" t="n">
        <f aca="false">IF($A56="","",IF(N(Z56)&gt;0,N(AF55)+1,0))</f>
        <v>1</v>
      </c>
      <c r="AG56" s="21" t="n">
        <f aca="false">IF($A56="","",IF(WEEKDAY($A56,2)&lt;&gt;7,"",IF(AND(OR(AA56="",N(AA56)&gt;=$A56+16/24,N(AB56)&lt;=$A56+6/24),OR(AC56="",N(AC56)&lt;=$A56+6/24)),1,0)))</f>
        <v>1</v>
      </c>
      <c r="AH56" s="26" t="str">
        <f aca="false">IF($A56="","",IF(INDEX(Muster!$C$9:$BF$9,1,MOD($A56-Einstellungen!$C$6,Einstellungen!$C$7)+1)="","-",INDEX(Muster!$C$9:$BF$9,1,MOD($A56-Einstellungen!$C$6,Einstellungen!$C$7)+1)))</f>
        <v>S</v>
      </c>
      <c r="AI56" s="27" t="n">
        <f aca="false">IF($A56="","",IFERROR(VLOOKUP(AH56,Schichten!$A$5:$G$24,6,FALSE()),0))</f>
        <v>8</v>
      </c>
      <c r="AJ56" s="27" t="n">
        <f aca="false">IF($A56="","",IFERROR(VLOOKUP(AH56,Schichten!$A$5:$G$24,7,FALSE()),0))</f>
        <v>0</v>
      </c>
      <c r="AK56" s="28" t="n">
        <f aca="false">IF($A56="","",IF(N(AI56)=0,"",$A56+VLOOKUP(AH56,Schichten!$A$5:$G$24,3,FALSE())))</f>
        <v>46439.5833333333</v>
      </c>
      <c r="AL56" s="28" t="n">
        <f aca="false">IF(AK56="","",$A56+VLOOKUP(AH56,Schichten!$A$5:$G$24,4,FALSE())+IF(VLOOKUP(AH56,Schichten!$A$5:$G$24,4,FALSE())&lt;=VLOOKUP(AH56,Schichten!$A$5:$G$24,3,FALSE()),1,0))</f>
        <v>46439.9166666667</v>
      </c>
      <c r="AM56" s="28" t="n">
        <f aca="false">IF($A56="","",IF(N(AI55)&gt;0,AL55,AM55))</f>
        <v>46438.5833333333</v>
      </c>
      <c r="AN56" s="27" t="n">
        <f aca="false">IF(OR(AK56="",AM56=""),"",(AK56-AM56)*24)</f>
        <v>24</v>
      </c>
      <c r="AO56" s="21" t="n">
        <f aca="false">IF($A56="","",IF(N(AI56)&gt;0,N(AO55)+1,0))</f>
        <v>3</v>
      </c>
      <c r="AP56" s="21" t="n">
        <f aca="false">IF($A56="","",IF(N(AJ56)&gt;0,N(AP55)+1,0))</f>
        <v>0</v>
      </c>
      <c r="AQ56" s="21" t="n">
        <f aca="false">IF($A56="","",IF(WEEKDAY($A56,2)&lt;&gt;7,"",IF(AND(OR(AK56="",N(AK56)&gt;=$A56+16/24,N(AL56)&lt;=$A56+6/24),OR(AM56="",N(AM56)&lt;=$A56+6/24)),1,0)))</f>
        <v>0</v>
      </c>
      <c r="AR56" s="26" t="str">
        <f aca="false">IF($A56="","",IF(INDEX(Muster!$C$10:$BF$10,1,MOD($A56-Einstellungen!$C$6,Einstellungen!$C$7)+1)="","-",INDEX(Muster!$C$10:$BF$10,1,MOD($A56-Einstellungen!$C$6,Einstellungen!$C$7)+1)))</f>
        <v>-</v>
      </c>
      <c r="AS56" s="27" t="n">
        <f aca="false">IF($A56="","",IFERROR(VLOOKUP(AR56,Schichten!$A$5:$G$24,6,FALSE()),0))</f>
        <v>0</v>
      </c>
      <c r="AT56" s="27" t="n">
        <f aca="false">IF($A56="","",IFERROR(VLOOKUP(AR56,Schichten!$A$5:$G$24,7,FALSE()),0))</f>
        <v>0</v>
      </c>
      <c r="AU56" s="28" t="str">
        <f aca="false">IF($A56="","",IF(N(AS56)=0,"",$A56+VLOOKUP(AR56,Schichten!$A$5:$G$24,3,FALSE())))</f>
        <v/>
      </c>
      <c r="AV56" s="28" t="str">
        <f aca="false">IF(AU56="","",$A56+VLOOKUP(AR56,Schichten!$A$5:$G$24,4,FALSE())+IF(VLOOKUP(AR56,Schichten!$A$5:$G$24,4,FALSE())&lt;=VLOOKUP(AR56,Schichten!$A$5:$G$24,3,FALSE()),1,0))</f>
        <v/>
      </c>
      <c r="AW56" s="28" t="str">
        <f aca="false">IF($A56="","",IF(N(AS55)&gt;0,AV55,AW55))</f>
        <v/>
      </c>
      <c r="AX56" s="27" t="str">
        <f aca="false">IF(OR(AU56="",AW56=""),"",(AU56-AW56)*24)</f>
        <v/>
      </c>
      <c r="AY56" s="21" t="n">
        <f aca="false">IF($A56="","",IF(N(AS56)&gt;0,N(AY55)+1,0))</f>
        <v>0</v>
      </c>
      <c r="AZ56" s="21" t="n">
        <f aca="false">IF($A56="","",IF(N(AT56)&gt;0,N(AZ55)+1,0))</f>
        <v>0</v>
      </c>
      <c r="BA56" s="21" t="n">
        <f aca="false">IF($A56="","",IF(WEEKDAY($A56,2)&lt;&gt;7,"",IF(AND(OR(AU56="",N(AU56)&gt;=$A56+16/24,N(AV56)&lt;=$A56+6/24),OR(AW56="",N(AW56)&lt;=$A56+6/24)),1,0)))</f>
        <v>1</v>
      </c>
    </row>
    <row r="57" customFormat="false" ht="15" hidden="false" customHeight="false" outlineLevel="0" collapsed="false">
      <c r="A57" s="25" t="n">
        <f aca="false">IF(YEAR(DATE(Einstellungen!$C$4,1,1)+52)=Einstellungen!$C$4,DATE(Einstellungen!$C$4,1,1)+52,"")</f>
        <v>46440</v>
      </c>
      <c r="B57" s="26" t="str">
        <f aca="false">IF($A57="","",CHOOSE(WEEKDAY($A57,2),"Mo","Di","Mi","Do","Fr","Sa","So"))</f>
        <v>Mo</v>
      </c>
      <c r="C57" s="26" t="n">
        <f aca="false">IF($A57="","",MONTH($A57))</f>
        <v>2</v>
      </c>
      <c r="D57" s="26" t="str">
        <f aca="false">IF($A57="","",IF(INDEX(Muster!$C$6:$BF$6,1,MOD($A57-Einstellungen!$C$6,Einstellungen!$C$7)+1)="","-",INDEX(Muster!$C$6:$BF$6,1,MOD($A57-Einstellungen!$C$6,Einstellungen!$C$7)+1)))</f>
        <v>F</v>
      </c>
      <c r="E57" s="27" t="n">
        <f aca="false">IF($A57="","",IFERROR(VLOOKUP(D57,Schichten!$A$5:$G$24,6,FALSE()),0))</f>
        <v>8</v>
      </c>
      <c r="F57" s="27" t="n">
        <f aca="false">IF($A57="","",IFERROR(VLOOKUP(D57,Schichten!$A$5:$G$24,7,FALSE()),0))</f>
        <v>0</v>
      </c>
      <c r="G57" s="28" t="n">
        <f aca="false">IF($A57="","",IF(N(E57)=0,"",$A57+VLOOKUP(D57,Schichten!$A$5:$G$24,3,FALSE())))</f>
        <v>46440.25</v>
      </c>
      <c r="H57" s="28" t="n">
        <f aca="false">IF(G57="","",$A57+VLOOKUP(D57,Schichten!$A$5:$G$24,4,FALSE())+IF(VLOOKUP(D57,Schichten!$A$5:$G$24,4,FALSE())&lt;=VLOOKUP(D57,Schichten!$A$5:$G$24,3,FALSE()),1,0))</f>
        <v>46440.5833333333</v>
      </c>
      <c r="I57" s="28" t="n">
        <f aca="false">IF($A57="","",IF(N(E56)&gt;0,H56,I56))</f>
        <v>46439.5833333333</v>
      </c>
      <c r="J57" s="27" t="n">
        <f aca="false">IF(OR(G57="",I57=""),"",(G57-I57)*24)</f>
        <v>16</v>
      </c>
      <c r="K57" s="21" t="n">
        <f aca="false">IF($A57="","",IF(N(E57)&gt;0,N(K56)+1,0))</f>
        <v>2</v>
      </c>
      <c r="L57" s="21" t="n">
        <f aca="false">IF($A57="","",IF(N(F57)&gt;0,N(L56)+1,0))</f>
        <v>0</v>
      </c>
      <c r="M57" s="21" t="str">
        <f aca="false">IF($A57="","",IF(WEEKDAY($A57,2)&lt;&gt;7,"",IF(AND(OR(G57="",N(G57)&gt;=$A57+16/24,N(H57)&lt;=$A57+6/24),OR(I57="",N(I57)&lt;=$A57+6/24)),1,0)))</f>
        <v/>
      </c>
      <c r="N57" s="26" t="str">
        <f aca="false">IF($A57="","",IF(INDEX(Muster!$C$7:$BF$7,1,MOD($A57-Einstellungen!$C$6,Einstellungen!$C$7)+1)="","-",INDEX(Muster!$C$7:$BF$7,1,MOD($A57-Einstellungen!$C$6,Einstellungen!$C$7)+1)))</f>
        <v>-</v>
      </c>
      <c r="O57" s="27" t="n">
        <f aca="false">IF($A57="","",IFERROR(VLOOKUP(N57,Schichten!$A$5:$G$24,6,FALSE()),0))</f>
        <v>0</v>
      </c>
      <c r="P57" s="27" t="n">
        <f aca="false">IF($A57="","",IFERROR(VLOOKUP(N57,Schichten!$A$5:$G$24,7,FALSE()),0))</f>
        <v>0</v>
      </c>
      <c r="Q57" s="28" t="str">
        <f aca="false">IF($A57="","",IF(N(O57)=0,"",$A57+VLOOKUP(N57,Schichten!$A$5:$G$24,3,FALSE())))</f>
        <v/>
      </c>
      <c r="R57" s="28" t="str">
        <f aca="false">IF(Q57="","",$A57+VLOOKUP(N57,Schichten!$A$5:$G$24,4,FALSE())+IF(VLOOKUP(N57,Schichten!$A$5:$G$24,4,FALSE())&lt;=VLOOKUP(N57,Schichten!$A$5:$G$24,3,FALSE()),1,0))</f>
        <v/>
      </c>
      <c r="S57" s="28" t="n">
        <f aca="false">IF($A57="","",IF(N(O56)&gt;0,R56,S56))</f>
        <v>46439.25</v>
      </c>
      <c r="T57" s="27" t="str">
        <f aca="false">IF(OR(Q57="",S57=""),"",(Q57-S57)*24)</f>
        <v/>
      </c>
      <c r="U57" s="21" t="n">
        <f aca="false">IF($A57="","",IF(N(O57)&gt;0,N(U56)+1,0))</f>
        <v>0</v>
      </c>
      <c r="V57" s="21" t="n">
        <f aca="false">IF($A57="","",IF(N(P57)&gt;0,N(V56)+1,0))</f>
        <v>0</v>
      </c>
      <c r="W57" s="21" t="str">
        <f aca="false">IF($A57="","",IF(WEEKDAY($A57,2)&lt;&gt;7,"",IF(AND(OR(Q57="",N(Q57)&gt;=$A57+16/24,N(R57)&lt;=$A57+6/24),OR(S57="",N(S57)&lt;=$A57+6/24)),1,0)))</f>
        <v/>
      </c>
      <c r="X57" s="26" t="str">
        <f aca="false">IF($A57="","",IF(INDEX(Muster!$C$8:$BF$8,1,MOD($A57-Einstellungen!$C$6,Einstellungen!$C$7)+1)="","-",INDEX(Muster!$C$8:$BF$8,1,MOD($A57-Einstellungen!$C$6,Einstellungen!$C$7)+1)))</f>
        <v>N</v>
      </c>
      <c r="Y57" s="27" t="n">
        <f aca="false">IF($A57="","",IFERROR(VLOOKUP(X57,Schichten!$A$5:$G$24,6,FALSE()),0))</f>
        <v>8</v>
      </c>
      <c r="Z57" s="27" t="n">
        <f aca="false">IF($A57="","",IFERROR(VLOOKUP(X57,Schichten!$A$5:$G$24,7,FALSE()),0))</f>
        <v>7</v>
      </c>
      <c r="AA57" s="28" t="n">
        <f aca="false">IF($A57="","",IF(N(Y57)=0,"",$A57+VLOOKUP(X57,Schichten!$A$5:$G$24,3,FALSE())))</f>
        <v>46440.9166666667</v>
      </c>
      <c r="AB57" s="28" t="n">
        <f aca="false">IF(AA57="","",$A57+VLOOKUP(X57,Schichten!$A$5:$G$24,4,FALSE())+IF(VLOOKUP(X57,Schichten!$A$5:$G$24,4,FALSE())&lt;=VLOOKUP(X57,Schichten!$A$5:$G$24,3,FALSE()),1,0))</f>
        <v>46441.25</v>
      </c>
      <c r="AC57" s="28" t="n">
        <f aca="false">IF($A57="","",IF(N(Y56)&gt;0,AB56,AC56))</f>
        <v>46440.25</v>
      </c>
      <c r="AD57" s="27" t="n">
        <f aca="false">IF(OR(AA57="",AC57=""),"",(AA57-AC57)*24)</f>
        <v>16</v>
      </c>
      <c r="AE57" s="21" t="n">
        <f aca="false">IF($A57="","",IF(N(Y57)&gt;0,N(AE56)+1,0))</f>
        <v>6</v>
      </c>
      <c r="AF57" s="21" t="n">
        <f aca="false">IF($A57="","",IF(N(Z57)&gt;0,N(AF56)+1,0))</f>
        <v>2</v>
      </c>
      <c r="AG57" s="21" t="str">
        <f aca="false">IF($A57="","",IF(WEEKDAY($A57,2)&lt;&gt;7,"",IF(AND(OR(AA57="",N(AA57)&gt;=$A57+16/24,N(AB57)&lt;=$A57+6/24),OR(AC57="",N(AC57)&lt;=$A57+6/24)),1,0)))</f>
        <v/>
      </c>
      <c r="AH57" s="26" t="str">
        <f aca="false">IF($A57="","",IF(INDEX(Muster!$C$9:$BF$9,1,MOD($A57-Einstellungen!$C$6,Einstellungen!$C$7)+1)="","-",INDEX(Muster!$C$9:$BF$9,1,MOD($A57-Einstellungen!$C$6,Einstellungen!$C$7)+1)))</f>
        <v>S</v>
      </c>
      <c r="AI57" s="27" t="n">
        <f aca="false">IF($A57="","",IFERROR(VLOOKUP(AH57,Schichten!$A$5:$G$24,6,FALSE()),0))</f>
        <v>8</v>
      </c>
      <c r="AJ57" s="27" t="n">
        <f aca="false">IF($A57="","",IFERROR(VLOOKUP(AH57,Schichten!$A$5:$G$24,7,FALSE()),0))</f>
        <v>0</v>
      </c>
      <c r="AK57" s="28" t="n">
        <f aca="false">IF($A57="","",IF(N(AI57)=0,"",$A57+VLOOKUP(AH57,Schichten!$A$5:$G$24,3,FALSE())))</f>
        <v>46440.5833333333</v>
      </c>
      <c r="AL57" s="28" t="n">
        <f aca="false">IF(AK57="","",$A57+VLOOKUP(AH57,Schichten!$A$5:$G$24,4,FALSE())+IF(VLOOKUP(AH57,Schichten!$A$5:$G$24,4,FALSE())&lt;=VLOOKUP(AH57,Schichten!$A$5:$G$24,3,FALSE()),1,0))</f>
        <v>46440.9166666667</v>
      </c>
      <c r="AM57" s="28" t="n">
        <f aca="false">IF($A57="","",IF(N(AI56)&gt;0,AL56,AM56))</f>
        <v>46439.9166666667</v>
      </c>
      <c r="AN57" s="27" t="n">
        <f aca="false">IF(OR(AK57="",AM57=""),"",(AK57-AM57)*24)</f>
        <v>16</v>
      </c>
      <c r="AO57" s="21" t="n">
        <f aca="false">IF($A57="","",IF(N(AI57)&gt;0,N(AO56)+1,0))</f>
        <v>4</v>
      </c>
      <c r="AP57" s="21" t="n">
        <f aca="false">IF($A57="","",IF(N(AJ57)&gt;0,N(AP56)+1,0))</f>
        <v>0</v>
      </c>
      <c r="AQ57" s="21" t="str">
        <f aca="false">IF($A57="","",IF(WEEKDAY($A57,2)&lt;&gt;7,"",IF(AND(OR(AK57="",N(AK57)&gt;=$A57+16/24,N(AL57)&lt;=$A57+6/24),OR(AM57="",N(AM57)&lt;=$A57+6/24)),1,0)))</f>
        <v/>
      </c>
      <c r="AR57" s="26" t="str">
        <f aca="false">IF($A57="","",IF(INDEX(Muster!$C$10:$BF$10,1,MOD($A57-Einstellungen!$C$6,Einstellungen!$C$7)+1)="","-",INDEX(Muster!$C$10:$BF$10,1,MOD($A57-Einstellungen!$C$6,Einstellungen!$C$7)+1)))</f>
        <v>-</v>
      </c>
      <c r="AS57" s="27" t="n">
        <f aca="false">IF($A57="","",IFERROR(VLOOKUP(AR57,Schichten!$A$5:$G$24,6,FALSE()),0))</f>
        <v>0</v>
      </c>
      <c r="AT57" s="27" t="n">
        <f aca="false">IF($A57="","",IFERROR(VLOOKUP(AR57,Schichten!$A$5:$G$24,7,FALSE()),0))</f>
        <v>0</v>
      </c>
      <c r="AU57" s="28" t="str">
        <f aca="false">IF($A57="","",IF(N(AS57)=0,"",$A57+VLOOKUP(AR57,Schichten!$A$5:$G$24,3,FALSE())))</f>
        <v/>
      </c>
      <c r="AV57" s="28" t="str">
        <f aca="false">IF(AU57="","",$A57+VLOOKUP(AR57,Schichten!$A$5:$G$24,4,FALSE())+IF(VLOOKUP(AR57,Schichten!$A$5:$G$24,4,FALSE())&lt;=VLOOKUP(AR57,Schichten!$A$5:$G$24,3,FALSE()),1,0))</f>
        <v/>
      </c>
      <c r="AW57" s="28" t="str">
        <f aca="false">IF($A57="","",IF(N(AS56)&gt;0,AV56,AW56))</f>
        <v/>
      </c>
      <c r="AX57" s="27" t="str">
        <f aca="false">IF(OR(AU57="",AW57=""),"",(AU57-AW57)*24)</f>
        <v/>
      </c>
      <c r="AY57" s="21" t="n">
        <f aca="false">IF($A57="","",IF(N(AS57)&gt;0,N(AY56)+1,0))</f>
        <v>0</v>
      </c>
      <c r="AZ57" s="21" t="n">
        <f aca="false">IF($A57="","",IF(N(AT57)&gt;0,N(AZ56)+1,0))</f>
        <v>0</v>
      </c>
      <c r="BA57" s="21" t="str">
        <f aca="false">IF($A57="","",IF(WEEKDAY($A57,2)&lt;&gt;7,"",IF(AND(OR(AU57="",N(AU57)&gt;=$A57+16/24,N(AV57)&lt;=$A57+6/24),OR(AW57="",N(AW57)&lt;=$A57+6/24)),1,0)))</f>
        <v/>
      </c>
    </row>
    <row r="58" customFormat="false" ht="15" hidden="false" customHeight="false" outlineLevel="0" collapsed="false">
      <c r="A58" s="25" t="n">
        <f aca="false">IF(YEAR(DATE(Einstellungen!$C$4,1,1)+53)=Einstellungen!$C$4,DATE(Einstellungen!$C$4,1,1)+53,"")</f>
        <v>46441</v>
      </c>
      <c r="B58" s="26" t="str">
        <f aca="false">IF($A58="","",CHOOSE(WEEKDAY($A58,2),"Mo","Di","Mi","Do","Fr","Sa","So"))</f>
        <v>Di</v>
      </c>
      <c r="C58" s="26" t="n">
        <f aca="false">IF($A58="","",MONTH($A58))</f>
        <v>2</v>
      </c>
      <c r="D58" s="26" t="str">
        <f aca="false">IF($A58="","",IF(INDEX(Muster!$C$6:$BF$6,1,MOD($A58-Einstellungen!$C$6,Einstellungen!$C$7)+1)="","-",INDEX(Muster!$C$6:$BF$6,1,MOD($A58-Einstellungen!$C$6,Einstellungen!$C$7)+1)))</f>
        <v>S</v>
      </c>
      <c r="E58" s="27" t="n">
        <f aca="false">IF($A58="","",IFERROR(VLOOKUP(D58,Schichten!$A$5:$G$24,6,FALSE()),0))</f>
        <v>8</v>
      </c>
      <c r="F58" s="27" t="n">
        <f aca="false">IF($A58="","",IFERROR(VLOOKUP(D58,Schichten!$A$5:$G$24,7,FALSE()),0))</f>
        <v>0</v>
      </c>
      <c r="G58" s="28" t="n">
        <f aca="false">IF($A58="","",IF(N(E58)=0,"",$A58+VLOOKUP(D58,Schichten!$A$5:$G$24,3,FALSE())))</f>
        <v>46441.5833333333</v>
      </c>
      <c r="H58" s="28" t="n">
        <f aca="false">IF(G58="","",$A58+VLOOKUP(D58,Schichten!$A$5:$G$24,4,FALSE())+IF(VLOOKUP(D58,Schichten!$A$5:$G$24,4,FALSE())&lt;=VLOOKUP(D58,Schichten!$A$5:$G$24,3,FALSE()),1,0))</f>
        <v>46441.9166666667</v>
      </c>
      <c r="I58" s="28" t="n">
        <f aca="false">IF($A58="","",IF(N(E57)&gt;0,H57,I57))</f>
        <v>46440.5833333333</v>
      </c>
      <c r="J58" s="27" t="n">
        <f aca="false">IF(OR(G58="",I58=""),"",(G58-I58)*24)</f>
        <v>24</v>
      </c>
      <c r="K58" s="21" t="n">
        <f aca="false">IF($A58="","",IF(N(E58)&gt;0,N(K57)+1,0))</f>
        <v>3</v>
      </c>
      <c r="L58" s="21" t="n">
        <f aca="false">IF($A58="","",IF(N(F58)&gt;0,N(L57)+1,0))</f>
        <v>0</v>
      </c>
      <c r="M58" s="21" t="str">
        <f aca="false">IF($A58="","",IF(WEEKDAY($A58,2)&lt;&gt;7,"",IF(AND(OR(G58="",N(G58)&gt;=$A58+16/24,N(H58)&lt;=$A58+6/24),OR(I58="",N(I58)&lt;=$A58+6/24)),1,0)))</f>
        <v/>
      </c>
      <c r="N58" s="26" t="str">
        <f aca="false">IF($A58="","",IF(INDEX(Muster!$C$7:$BF$7,1,MOD($A58-Einstellungen!$C$6,Einstellungen!$C$7)+1)="","-",INDEX(Muster!$C$7:$BF$7,1,MOD($A58-Einstellungen!$C$6,Einstellungen!$C$7)+1)))</f>
        <v>F</v>
      </c>
      <c r="O58" s="27" t="n">
        <f aca="false">IF($A58="","",IFERROR(VLOOKUP(N58,Schichten!$A$5:$G$24,6,FALSE()),0))</f>
        <v>8</v>
      </c>
      <c r="P58" s="27" t="n">
        <f aca="false">IF($A58="","",IFERROR(VLOOKUP(N58,Schichten!$A$5:$G$24,7,FALSE()),0))</f>
        <v>0</v>
      </c>
      <c r="Q58" s="28" t="n">
        <f aca="false">IF($A58="","",IF(N(O58)=0,"",$A58+VLOOKUP(N58,Schichten!$A$5:$G$24,3,FALSE())))</f>
        <v>46441.25</v>
      </c>
      <c r="R58" s="28" t="n">
        <f aca="false">IF(Q58="","",$A58+VLOOKUP(N58,Schichten!$A$5:$G$24,4,FALSE())+IF(VLOOKUP(N58,Schichten!$A$5:$G$24,4,FALSE())&lt;=VLOOKUP(N58,Schichten!$A$5:$G$24,3,FALSE()),1,0))</f>
        <v>46441.5833333333</v>
      </c>
      <c r="S58" s="28" t="n">
        <f aca="false">IF($A58="","",IF(N(O57)&gt;0,R57,S57))</f>
        <v>46439.25</v>
      </c>
      <c r="T58" s="27" t="n">
        <f aca="false">IF(OR(Q58="",S58=""),"",(Q58-S58)*24)</f>
        <v>48</v>
      </c>
      <c r="U58" s="21" t="n">
        <f aca="false">IF($A58="","",IF(N(O58)&gt;0,N(U57)+1,0))</f>
        <v>1</v>
      </c>
      <c r="V58" s="21" t="n">
        <f aca="false">IF($A58="","",IF(N(P58)&gt;0,N(V57)+1,0))</f>
        <v>0</v>
      </c>
      <c r="W58" s="21" t="str">
        <f aca="false">IF($A58="","",IF(WEEKDAY($A58,2)&lt;&gt;7,"",IF(AND(OR(Q58="",N(Q58)&gt;=$A58+16/24,N(R58)&lt;=$A58+6/24),OR(S58="",N(S58)&lt;=$A58+6/24)),1,0)))</f>
        <v/>
      </c>
      <c r="X58" s="26" t="str">
        <f aca="false">IF($A58="","",IF(INDEX(Muster!$C$8:$BF$8,1,MOD($A58-Einstellungen!$C$6,Einstellungen!$C$7)+1)="","-",INDEX(Muster!$C$8:$BF$8,1,MOD($A58-Einstellungen!$C$6,Einstellungen!$C$7)+1)))</f>
        <v>-</v>
      </c>
      <c r="Y58" s="27" t="n">
        <f aca="false">IF($A58="","",IFERROR(VLOOKUP(X58,Schichten!$A$5:$G$24,6,FALSE()),0))</f>
        <v>0</v>
      </c>
      <c r="Z58" s="27" t="n">
        <f aca="false">IF($A58="","",IFERROR(VLOOKUP(X58,Schichten!$A$5:$G$24,7,FALSE()),0))</f>
        <v>0</v>
      </c>
      <c r="AA58" s="28" t="str">
        <f aca="false">IF($A58="","",IF(N(Y58)=0,"",$A58+VLOOKUP(X58,Schichten!$A$5:$G$24,3,FALSE())))</f>
        <v/>
      </c>
      <c r="AB58" s="28" t="str">
        <f aca="false">IF(AA58="","",$A58+VLOOKUP(X58,Schichten!$A$5:$G$24,4,FALSE())+IF(VLOOKUP(X58,Schichten!$A$5:$G$24,4,FALSE())&lt;=VLOOKUP(X58,Schichten!$A$5:$G$24,3,FALSE()),1,0))</f>
        <v/>
      </c>
      <c r="AC58" s="28" t="n">
        <f aca="false">IF($A58="","",IF(N(Y57)&gt;0,AB57,AC57))</f>
        <v>46441.25</v>
      </c>
      <c r="AD58" s="27" t="str">
        <f aca="false">IF(OR(AA58="",AC58=""),"",(AA58-AC58)*24)</f>
        <v/>
      </c>
      <c r="AE58" s="21" t="n">
        <f aca="false">IF($A58="","",IF(N(Y58)&gt;0,N(AE57)+1,0))</f>
        <v>0</v>
      </c>
      <c r="AF58" s="21" t="n">
        <f aca="false">IF($A58="","",IF(N(Z58)&gt;0,N(AF57)+1,0))</f>
        <v>0</v>
      </c>
      <c r="AG58" s="21" t="str">
        <f aca="false">IF($A58="","",IF(WEEKDAY($A58,2)&lt;&gt;7,"",IF(AND(OR(AA58="",N(AA58)&gt;=$A58+16/24,N(AB58)&lt;=$A58+6/24),OR(AC58="",N(AC58)&lt;=$A58+6/24)),1,0)))</f>
        <v/>
      </c>
      <c r="AH58" s="26" t="str">
        <f aca="false">IF($A58="","",IF(INDEX(Muster!$C$9:$BF$9,1,MOD($A58-Einstellungen!$C$6,Einstellungen!$C$7)+1)="","-",INDEX(Muster!$C$9:$BF$9,1,MOD($A58-Einstellungen!$C$6,Einstellungen!$C$7)+1)))</f>
        <v>N</v>
      </c>
      <c r="AI58" s="27" t="n">
        <f aca="false">IF($A58="","",IFERROR(VLOOKUP(AH58,Schichten!$A$5:$G$24,6,FALSE()),0))</f>
        <v>8</v>
      </c>
      <c r="AJ58" s="27" t="n">
        <f aca="false">IF($A58="","",IFERROR(VLOOKUP(AH58,Schichten!$A$5:$G$24,7,FALSE()),0))</f>
        <v>7</v>
      </c>
      <c r="AK58" s="28" t="n">
        <f aca="false">IF($A58="","",IF(N(AI58)=0,"",$A58+VLOOKUP(AH58,Schichten!$A$5:$G$24,3,FALSE())))</f>
        <v>46441.9166666667</v>
      </c>
      <c r="AL58" s="28" t="n">
        <f aca="false">IF(AK58="","",$A58+VLOOKUP(AH58,Schichten!$A$5:$G$24,4,FALSE())+IF(VLOOKUP(AH58,Schichten!$A$5:$G$24,4,FALSE())&lt;=VLOOKUP(AH58,Schichten!$A$5:$G$24,3,FALSE()),1,0))</f>
        <v>46442.25</v>
      </c>
      <c r="AM58" s="28" t="n">
        <f aca="false">IF($A58="","",IF(N(AI57)&gt;0,AL57,AM57))</f>
        <v>46440.9166666667</v>
      </c>
      <c r="AN58" s="27" t="n">
        <f aca="false">IF(OR(AK58="",AM58=""),"",(AK58-AM58)*24)</f>
        <v>24</v>
      </c>
      <c r="AO58" s="21" t="n">
        <f aca="false">IF($A58="","",IF(N(AI58)&gt;0,N(AO57)+1,0))</f>
        <v>5</v>
      </c>
      <c r="AP58" s="21" t="n">
        <f aca="false">IF($A58="","",IF(N(AJ58)&gt;0,N(AP57)+1,0))</f>
        <v>1</v>
      </c>
      <c r="AQ58" s="21" t="str">
        <f aca="false">IF($A58="","",IF(WEEKDAY($A58,2)&lt;&gt;7,"",IF(AND(OR(AK58="",N(AK58)&gt;=$A58+16/24,N(AL58)&lt;=$A58+6/24),OR(AM58="",N(AM58)&lt;=$A58+6/24)),1,0)))</f>
        <v/>
      </c>
      <c r="AR58" s="26" t="str">
        <f aca="false">IF($A58="","",IF(INDEX(Muster!$C$10:$BF$10,1,MOD($A58-Einstellungen!$C$6,Einstellungen!$C$7)+1)="","-",INDEX(Muster!$C$10:$BF$10,1,MOD($A58-Einstellungen!$C$6,Einstellungen!$C$7)+1)))</f>
        <v>-</v>
      </c>
      <c r="AS58" s="27" t="n">
        <f aca="false">IF($A58="","",IFERROR(VLOOKUP(AR58,Schichten!$A$5:$G$24,6,FALSE()),0))</f>
        <v>0</v>
      </c>
      <c r="AT58" s="27" t="n">
        <f aca="false">IF($A58="","",IFERROR(VLOOKUP(AR58,Schichten!$A$5:$G$24,7,FALSE()),0))</f>
        <v>0</v>
      </c>
      <c r="AU58" s="28" t="str">
        <f aca="false">IF($A58="","",IF(N(AS58)=0,"",$A58+VLOOKUP(AR58,Schichten!$A$5:$G$24,3,FALSE())))</f>
        <v/>
      </c>
      <c r="AV58" s="28" t="str">
        <f aca="false">IF(AU58="","",$A58+VLOOKUP(AR58,Schichten!$A$5:$G$24,4,FALSE())+IF(VLOOKUP(AR58,Schichten!$A$5:$G$24,4,FALSE())&lt;=VLOOKUP(AR58,Schichten!$A$5:$G$24,3,FALSE()),1,0))</f>
        <v/>
      </c>
      <c r="AW58" s="28" t="str">
        <f aca="false">IF($A58="","",IF(N(AS57)&gt;0,AV57,AW57))</f>
        <v/>
      </c>
      <c r="AX58" s="27" t="str">
        <f aca="false">IF(OR(AU58="",AW58=""),"",(AU58-AW58)*24)</f>
        <v/>
      </c>
      <c r="AY58" s="21" t="n">
        <f aca="false">IF($A58="","",IF(N(AS58)&gt;0,N(AY57)+1,0))</f>
        <v>0</v>
      </c>
      <c r="AZ58" s="21" t="n">
        <f aca="false">IF($A58="","",IF(N(AT58)&gt;0,N(AZ57)+1,0))</f>
        <v>0</v>
      </c>
      <c r="BA58" s="21" t="str">
        <f aca="false">IF($A58="","",IF(WEEKDAY($A58,2)&lt;&gt;7,"",IF(AND(OR(AU58="",N(AU58)&gt;=$A58+16/24,N(AV58)&lt;=$A58+6/24),OR(AW58="",N(AW58)&lt;=$A58+6/24)),1,0)))</f>
        <v/>
      </c>
    </row>
    <row r="59" customFormat="false" ht="15" hidden="false" customHeight="false" outlineLevel="0" collapsed="false">
      <c r="A59" s="25" t="n">
        <f aca="false">IF(YEAR(DATE(Einstellungen!$C$4,1,1)+54)=Einstellungen!$C$4,DATE(Einstellungen!$C$4,1,1)+54,"")</f>
        <v>46442</v>
      </c>
      <c r="B59" s="26" t="str">
        <f aca="false">IF($A59="","",CHOOSE(WEEKDAY($A59,2),"Mo","Di","Mi","Do","Fr","Sa","So"))</f>
        <v>Mi</v>
      </c>
      <c r="C59" s="26" t="n">
        <f aca="false">IF($A59="","",MONTH($A59))</f>
        <v>2</v>
      </c>
      <c r="D59" s="26" t="str">
        <f aca="false">IF($A59="","",IF(INDEX(Muster!$C$6:$BF$6,1,MOD($A59-Einstellungen!$C$6,Einstellungen!$C$7)+1)="","-",INDEX(Muster!$C$6:$BF$6,1,MOD($A59-Einstellungen!$C$6,Einstellungen!$C$7)+1)))</f>
        <v>S</v>
      </c>
      <c r="E59" s="27" t="n">
        <f aca="false">IF($A59="","",IFERROR(VLOOKUP(D59,Schichten!$A$5:$G$24,6,FALSE()),0))</f>
        <v>8</v>
      </c>
      <c r="F59" s="27" t="n">
        <f aca="false">IF($A59="","",IFERROR(VLOOKUP(D59,Schichten!$A$5:$G$24,7,FALSE()),0))</f>
        <v>0</v>
      </c>
      <c r="G59" s="28" t="n">
        <f aca="false">IF($A59="","",IF(N(E59)=0,"",$A59+VLOOKUP(D59,Schichten!$A$5:$G$24,3,FALSE())))</f>
        <v>46442.5833333333</v>
      </c>
      <c r="H59" s="28" t="n">
        <f aca="false">IF(G59="","",$A59+VLOOKUP(D59,Schichten!$A$5:$G$24,4,FALSE())+IF(VLOOKUP(D59,Schichten!$A$5:$G$24,4,FALSE())&lt;=VLOOKUP(D59,Schichten!$A$5:$G$24,3,FALSE()),1,0))</f>
        <v>46442.9166666667</v>
      </c>
      <c r="I59" s="28" t="n">
        <f aca="false">IF($A59="","",IF(N(E58)&gt;0,H58,I58))</f>
        <v>46441.9166666667</v>
      </c>
      <c r="J59" s="27" t="n">
        <f aca="false">IF(OR(G59="",I59=""),"",(G59-I59)*24)</f>
        <v>16</v>
      </c>
      <c r="K59" s="21" t="n">
        <f aca="false">IF($A59="","",IF(N(E59)&gt;0,N(K58)+1,0))</f>
        <v>4</v>
      </c>
      <c r="L59" s="21" t="n">
        <f aca="false">IF($A59="","",IF(N(F59)&gt;0,N(L58)+1,0))</f>
        <v>0</v>
      </c>
      <c r="M59" s="21" t="str">
        <f aca="false">IF($A59="","",IF(WEEKDAY($A59,2)&lt;&gt;7,"",IF(AND(OR(G59="",N(G59)&gt;=$A59+16/24,N(H59)&lt;=$A59+6/24),OR(I59="",N(I59)&lt;=$A59+6/24)),1,0)))</f>
        <v/>
      </c>
      <c r="N59" s="26" t="str">
        <f aca="false">IF($A59="","",IF(INDEX(Muster!$C$7:$BF$7,1,MOD($A59-Einstellungen!$C$6,Einstellungen!$C$7)+1)="","-",INDEX(Muster!$C$7:$BF$7,1,MOD($A59-Einstellungen!$C$6,Einstellungen!$C$7)+1)))</f>
        <v>F</v>
      </c>
      <c r="O59" s="27" t="n">
        <f aca="false">IF($A59="","",IFERROR(VLOOKUP(N59,Schichten!$A$5:$G$24,6,FALSE()),0))</f>
        <v>8</v>
      </c>
      <c r="P59" s="27" t="n">
        <f aca="false">IF($A59="","",IFERROR(VLOOKUP(N59,Schichten!$A$5:$G$24,7,FALSE()),0))</f>
        <v>0</v>
      </c>
      <c r="Q59" s="28" t="n">
        <f aca="false">IF($A59="","",IF(N(O59)=0,"",$A59+VLOOKUP(N59,Schichten!$A$5:$G$24,3,FALSE())))</f>
        <v>46442.25</v>
      </c>
      <c r="R59" s="28" t="n">
        <f aca="false">IF(Q59="","",$A59+VLOOKUP(N59,Schichten!$A$5:$G$24,4,FALSE())+IF(VLOOKUP(N59,Schichten!$A$5:$G$24,4,FALSE())&lt;=VLOOKUP(N59,Schichten!$A$5:$G$24,3,FALSE()),1,0))</f>
        <v>46442.5833333333</v>
      </c>
      <c r="S59" s="28" t="n">
        <f aca="false">IF($A59="","",IF(N(O58)&gt;0,R58,S58))</f>
        <v>46441.5833333333</v>
      </c>
      <c r="T59" s="27" t="n">
        <f aca="false">IF(OR(Q59="",S59=""),"",(Q59-S59)*24)</f>
        <v>16</v>
      </c>
      <c r="U59" s="21" t="n">
        <f aca="false">IF($A59="","",IF(N(O59)&gt;0,N(U58)+1,0))</f>
        <v>2</v>
      </c>
      <c r="V59" s="21" t="n">
        <f aca="false">IF($A59="","",IF(N(P59)&gt;0,N(V58)+1,0))</f>
        <v>0</v>
      </c>
      <c r="W59" s="21" t="str">
        <f aca="false">IF($A59="","",IF(WEEKDAY($A59,2)&lt;&gt;7,"",IF(AND(OR(Q59="",N(Q59)&gt;=$A59+16/24,N(R59)&lt;=$A59+6/24),OR(S59="",N(S59)&lt;=$A59+6/24)),1,0)))</f>
        <v/>
      </c>
      <c r="X59" s="26" t="str">
        <f aca="false">IF($A59="","",IF(INDEX(Muster!$C$8:$BF$8,1,MOD($A59-Einstellungen!$C$6,Einstellungen!$C$7)+1)="","-",INDEX(Muster!$C$8:$BF$8,1,MOD($A59-Einstellungen!$C$6,Einstellungen!$C$7)+1)))</f>
        <v>-</v>
      </c>
      <c r="Y59" s="27" t="n">
        <f aca="false">IF($A59="","",IFERROR(VLOOKUP(X59,Schichten!$A$5:$G$24,6,FALSE()),0))</f>
        <v>0</v>
      </c>
      <c r="Z59" s="27" t="n">
        <f aca="false">IF($A59="","",IFERROR(VLOOKUP(X59,Schichten!$A$5:$G$24,7,FALSE()),0))</f>
        <v>0</v>
      </c>
      <c r="AA59" s="28" t="str">
        <f aca="false">IF($A59="","",IF(N(Y59)=0,"",$A59+VLOOKUP(X59,Schichten!$A$5:$G$24,3,FALSE())))</f>
        <v/>
      </c>
      <c r="AB59" s="28" t="str">
        <f aca="false">IF(AA59="","",$A59+VLOOKUP(X59,Schichten!$A$5:$G$24,4,FALSE())+IF(VLOOKUP(X59,Schichten!$A$5:$G$24,4,FALSE())&lt;=VLOOKUP(X59,Schichten!$A$5:$G$24,3,FALSE()),1,0))</f>
        <v/>
      </c>
      <c r="AC59" s="28" t="n">
        <f aca="false">IF($A59="","",IF(N(Y58)&gt;0,AB58,AC58))</f>
        <v>46441.25</v>
      </c>
      <c r="AD59" s="27" t="str">
        <f aca="false">IF(OR(AA59="",AC59=""),"",(AA59-AC59)*24)</f>
        <v/>
      </c>
      <c r="AE59" s="21" t="n">
        <f aca="false">IF($A59="","",IF(N(Y59)&gt;0,N(AE58)+1,0))</f>
        <v>0</v>
      </c>
      <c r="AF59" s="21" t="n">
        <f aca="false">IF($A59="","",IF(N(Z59)&gt;0,N(AF58)+1,0))</f>
        <v>0</v>
      </c>
      <c r="AG59" s="21" t="str">
        <f aca="false">IF($A59="","",IF(WEEKDAY($A59,2)&lt;&gt;7,"",IF(AND(OR(AA59="",N(AA59)&gt;=$A59+16/24,N(AB59)&lt;=$A59+6/24),OR(AC59="",N(AC59)&lt;=$A59+6/24)),1,0)))</f>
        <v/>
      </c>
      <c r="AH59" s="26" t="str">
        <f aca="false">IF($A59="","",IF(INDEX(Muster!$C$9:$BF$9,1,MOD($A59-Einstellungen!$C$6,Einstellungen!$C$7)+1)="","-",INDEX(Muster!$C$9:$BF$9,1,MOD($A59-Einstellungen!$C$6,Einstellungen!$C$7)+1)))</f>
        <v>N</v>
      </c>
      <c r="AI59" s="27" t="n">
        <f aca="false">IF($A59="","",IFERROR(VLOOKUP(AH59,Schichten!$A$5:$G$24,6,FALSE()),0))</f>
        <v>8</v>
      </c>
      <c r="AJ59" s="27" t="n">
        <f aca="false">IF($A59="","",IFERROR(VLOOKUP(AH59,Schichten!$A$5:$G$24,7,FALSE()),0))</f>
        <v>7</v>
      </c>
      <c r="AK59" s="28" t="n">
        <f aca="false">IF($A59="","",IF(N(AI59)=0,"",$A59+VLOOKUP(AH59,Schichten!$A$5:$G$24,3,FALSE())))</f>
        <v>46442.9166666667</v>
      </c>
      <c r="AL59" s="28" t="n">
        <f aca="false">IF(AK59="","",$A59+VLOOKUP(AH59,Schichten!$A$5:$G$24,4,FALSE())+IF(VLOOKUP(AH59,Schichten!$A$5:$G$24,4,FALSE())&lt;=VLOOKUP(AH59,Schichten!$A$5:$G$24,3,FALSE()),1,0))</f>
        <v>46443.25</v>
      </c>
      <c r="AM59" s="28" t="n">
        <f aca="false">IF($A59="","",IF(N(AI58)&gt;0,AL58,AM58))</f>
        <v>46442.25</v>
      </c>
      <c r="AN59" s="27" t="n">
        <f aca="false">IF(OR(AK59="",AM59=""),"",(AK59-AM59)*24)</f>
        <v>16</v>
      </c>
      <c r="AO59" s="21" t="n">
        <f aca="false">IF($A59="","",IF(N(AI59)&gt;0,N(AO58)+1,0))</f>
        <v>6</v>
      </c>
      <c r="AP59" s="21" t="n">
        <f aca="false">IF($A59="","",IF(N(AJ59)&gt;0,N(AP58)+1,0))</f>
        <v>2</v>
      </c>
      <c r="AQ59" s="21" t="str">
        <f aca="false">IF($A59="","",IF(WEEKDAY($A59,2)&lt;&gt;7,"",IF(AND(OR(AK59="",N(AK59)&gt;=$A59+16/24,N(AL59)&lt;=$A59+6/24),OR(AM59="",N(AM59)&lt;=$A59+6/24)),1,0)))</f>
        <v/>
      </c>
      <c r="AR59" s="26" t="str">
        <f aca="false">IF($A59="","",IF(INDEX(Muster!$C$10:$BF$10,1,MOD($A59-Einstellungen!$C$6,Einstellungen!$C$7)+1)="","-",INDEX(Muster!$C$10:$BF$10,1,MOD($A59-Einstellungen!$C$6,Einstellungen!$C$7)+1)))</f>
        <v>-</v>
      </c>
      <c r="AS59" s="27" t="n">
        <f aca="false">IF($A59="","",IFERROR(VLOOKUP(AR59,Schichten!$A$5:$G$24,6,FALSE()),0))</f>
        <v>0</v>
      </c>
      <c r="AT59" s="27" t="n">
        <f aca="false">IF($A59="","",IFERROR(VLOOKUP(AR59,Schichten!$A$5:$G$24,7,FALSE()),0))</f>
        <v>0</v>
      </c>
      <c r="AU59" s="28" t="str">
        <f aca="false">IF($A59="","",IF(N(AS59)=0,"",$A59+VLOOKUP(AR59,Schichten!$A$5:$G$24,3,FALSE())))</f>
        <v/>
      </c>
      <c r="AV59" s="28" t="str">
        <f aca="false">IF(AU59="","",$A59+VLOOKUP(AR59,Schichten!$A$5:$G$24,4,FALSE())+IF(VLOOKUP(AR59,Schichten!$A$5:$G$24,4,FALSE())&lt;=VLOOKUP(AR59,Schichten!$A$5:$G$24,3,FALSE()),1,0))</f>
        <v/>
      </c>
      <c r="AW59" s="28" t="str">
        <f aca="false">IF($A59="","",IF(N(AS58)&gt;0,AV58,AW58))</f>
        <v/>
      </c>
      <c r="AX59" s="27" t="str">
        <f aca="false">IF(OR(AU59="",AW59=""),"",(AU59-AW59)*24)</f>
        <v/>
      </c>
      <c r="AY59" s="21" t="n">
        <f aca="false">IF($A59="","",IF(N(AS59)&gt;0,N(AY58)+1,0))</f>
        <v>0</v>
      </c>
      <c r="AZ59" s="21" t="n">
        <f aca="false">IF($A59="","",IF(N(AT59)&gt;0,N(AZ58)+1,0))</f>
        <v>0</v>
      </c>
      <c r="BA59" s="21" t="str">
        <f aca="false">IF($A59="","",IF(WEEKDAY($A59,2)&lt;&gt;7,"",IF(AND(OR(AU59="",N(AU59)&gt;=$A59+16/24,N(AV59)&lt;=$A59+6/24),OR(AW59="",N(AW59)&lt;=$A59+6/24)),1,0)))</f>
        <v/>
      </c>
    </row>
    <row r="60" customFormat="false" ht="15" hidden="false" customHeight="false" outlineLevel="0" collapsed="false">
      <c r="A60" s="25" t="n">
        <f aca="false">IF(YEAR(DATE(Einstellungen!$C$4,1,1)+55)=Einstellungen!$C$4,DATE(Einstellungen!$C$4,1,1)+55,"")</f>
        <v>46443</v>
      </c>
      <c r="B60" s="26" t="str">
        <f aca="false">IF($A60="","",CHOOSE(WEEKDAY($A60,2),"Mo","Di","Mi","Do","Fr","Sa","So"))</f>
        <v>Do</v>
      </c>
      <c r="C60" s="26" t="n">
        <f aca="false">IF($A60="","",MONTH($A60))</f>
        <v>2</v>
      </c>
      <c r="D60" s="26" t="str">
        <f aca="false">IF($A60="","",IF(INDEX(Muster!$C$6:$BF$6,1,MOD($A60-Einstellungen!$C$6,Einstellungen!$C$7)+1)="","-",INDEX(Muster!$C$6:$BF$6,1,MOD($A60-Einstellungen!$C$6,Einstellungen!$C$7)+1)))</f>
        <v>N</v>
      </c>
      <c r="E60" s="27" t="n">
        <f aca="false">IF($A60="","",IFERROR(VLOOKUP(D60,Schichten!$A$5:$G$24,6,FALSE()),0))</f>
        <v>8</v>
      </c>
      <c r="F60" s="27" t="n">
        <f aca="false">IF($A60="","",IFERROR(VLOOKUP(D60,Schichten!$A$5:$G$24,7,FALSE()),0))</f>
        <v>7</v>
      </c>
      <c r="G60" s="28" t="n">
        <f aca="false">IF($A60="","",IF(N(E60)=0,"",$A60+VLOOKUP(D60,Schichten!$A$5:$G$24,3,FALSE())))</f>
        <v>46443.9166666667</v>
      </c>
      <c r="H60" s="28" t="n">
        <f aca="false">IF(G60="","",$A60+VLOOKUP(D60,Schichten!$A$5:$G$24,4,FALSE())+IF(VLOOKUP(D60,Schichten!$A$5:$G$24,4,FALSE())&lt;=VLOOKUP(D60,Schichten!$A$5:$G$24,3,FALSE()),1,0))</f>
        <v>46444.25</v>
      </c>
      <c r="I60" s="28" t="n">
        <f aca="false">IF($A60="","",IF(N(E59)&gt;0,H59,I59))</f>
        <v>46442.9166666667</v>
      </c>
      <c r="J60" s="27" t="n">
        <f aca="false">IF(OR(G60="",I60=""),"",(G60-I60)*24)</f>
        <v>24</v>
      </c>
      <c r="K60" s="21" t="n">
        <f aca="false">IF($A60="","",IF(N(E60)&gt;0,N(K59)+1,0))</f>
        <v>5</v>
      </c>
      <c r="L60" s="21" t="n">
        <f aca="false">IF($A60="","",IF(N(F60)&gt;0,N(L59)+1,0))</f>
        <v>1</v>
      </c>
      <c r="M60" s="21" t="str">
        <f aca="false">IF($A60="","",IF(WEEKDAY($A60,2)&lt;&gt;7,"",IF(AND(OR(G60="",N(G60)&gt;=$A60+16/24,N(H60)&lt;=$A60+6/24),OR(I60="",N(I60)&lt;=$A60+6/24)),1,0)))</f>
        <v/>
      </c>
      <c r="N60" s="26" t="str">
        <f aca="false">IF($A60="","",IF(INDEX(Muster!$C$7:$BF$7,1,MOD($A60-Einstellungen!$C$6,Einstellungen!$C$7)+1)="","-",INDEX(Muster!$C$7:$BF$7,1,MOD($A60-Einstellungen!$C$6,Einstellungen!$C$7)+1)))</f>
        <v>S</v>
      </c>
      <c r="O60" s="27" t="n">
        <f aca="false">IF($A60="","",IFERROR(VLOOKUP(N60,Schichten!$A$5:$G$24,6,FALSE()),0))</f>
        <v>8</v>
      </c>
      <c r="P60" s="27" t="n">
        <f aca="false">IF($A60="","",IFERROR(VLOOKUP(N60,Schichten!$A$5:$G$24,7,FALSE()),0))</f>
        <v>0</v>
      </c>
      <c r="Q60" s="28" t="n">
        <f aca="false">IF($A60="","",IF(N(O60)=0,"",$A60+VLOOKUP(N60,Schichten!$A$5:$G$24,3,FALSE())))</f>
        <v>46443.5833333333</v>
      </c>
      <c r="R60" s="28" t="n">
        <f aca="false">IF(Q60="","",$A60+VLOOKUP(N60,Schichten!$A$5:$G$24,4,FALSE())+IF(VLOOKUP(N60,Schichten!$A$5:$G$24,4,FALSE())&lt;=VLOOKUP(N60,Schichten!$A$5:$G$24,3,FALSE()),1,0))</f>
        <v>46443.9166666667</v>
      </c>
      <c r="S60" s="28" t="n">
        <f aca="false">IF($A60="","",IF(N(O59)&gt;0,R59,S59))</f>
        <v>46442.5833333333</v>
      </c>
      <c r="T60" s="27" t="n">
        <f aca="false">IF(OR(Q60="",S60=""),"",(Q60-S60)*24)</f>
        <v>24</v>
      </c>
      <c r="U60" s="21" t="n">
        <f aca="false">IF($A60="","",IF(N(O60)&gt;0,N(U59)+1,0))</f>
        <v>3</v>
      </c>
      <c r="V60" s="21" t="n">
        <f aca="false">IF($A60="","",IF(N(P60)&gt;0,N(V59)+1,0))</f>
        <v>0</v>
      </c>
      <c r="W60" s="21" t="str">
        <f aca="false">IF($A60="","",IF(WEEKDAY($A60,2)&lt;&gt;7,"",IF(AND(OR(Q60="",N(Q60)&gt;=$A60+16/24,N(R60)&lt;=$A60+6/24),OR(S60="",N(S60)&lt;=$A60+6/24)),1,0)))</f>
        <v/>
      </c>
      <c r="X60" s="26" t="str">
        <f aca="false">IF($A60="","",IF(INDEX(Muster!$C$8:$BF$8,1,MOD($A60-Einstellungen!$C$6,Einstellungen!$C$7)+1)="","-",INDEX(Muster!$C$8:$BF$8,1,MOD($A60-Einstellungen!$C$6,Einstellungen!$C$7)+1)))</f>
        <v>F</v>
      </c>
      <c r="Y60" s="27" t="n">
        <f aca="false">IF($A60="","",IFERROR(VLOOKUP(X60,Schichten!$A$5:$G$24,6,FALSE()),0))</f>
        <v>8</v>
      </c>
      <c r="Z60" s="27" t="n">
        <f aca="false">IF($A60="","",IFERROR(VLOOKUP(X60,Schichten!$A$5:$G$24,7,FALSE()),0))</f>
        <v>0</v>
      </c>
      <c r="AA60" s="28" t="n">
        <f aca="false">IF($A60="","",IF(N(Y60)=0,"",$A60+VLOOKUP(X60,Schichten!$A$5:$G$24,3,FALSE())))</f>
        <v>46443.25</v>
      </c>
      <c r="AB60" s="28" t="n">
        <f aca="false">IF(AA60="","",$A60+VLOOKUP(X60,Schichten!$A$5:$G$24,4,FALSE())+IF(VLOOKUP(X60,Schichten!$A$5:$G$24,4,FALSE())&lt;=VLOOKUP(X60,Schichten!$A$5:$G$24,3,FALSE()),1,0))</f>
        <v>46443.5833333333</v>
      </c>
      <c r="AC60" s="28" t="n">
        <f aca="false">IF($A60="","",IF(N(Y59)&gt;0,AB59,AC59))</f>
        <v>46441.25</v>
      </c>
      <c r="AD60" s="27" t="n">
        <f aca="false">IF(OR(AA60="",AC60=""),"",(AA60-AC60)*24)</f>
        <v>48</v>
      </c>
      <c r="AE60" s="21" t="n">
        <f aca="false">IF($A60="","",IF(N(Y60)&gt;0,N(AE59)+1,0))</f>
        <v>1</v>
      </c>
      <c r="AF60" s="21" t="n">
        <f aca="false">IF($A60="","",IF(N(Z60)&gt;0,N(AF59)+1,0))</f>
        <v>0</v>
      </c>
      <c r="AG60" s="21" t="str">
        <f aca="false">IF($A60="","",IF(WEEKDAY($A60,2)&lt;&gt;7,"",IF(AND(OR(AA60="",N(AA60)&gt;=$A60+16/24,N(AB60)&lt;=$A60+6/24),OR(AC60="",N(AC60)&lt;=$A60+6/24)),1,0)))</f>
        <v/>
      </c>
      <c r="AH60" s="26" t="str">
        <f aca="false">IF($A60="","",IF(INDEX(Muster!$C$9:$BF$9,1,MOD($A60-Einstellungen!$C$6,Einstellungen!$C$7)+1)="","-",INDEX(Muster!$C$9:$BF$9,1,MOD($A60-Einstellungen!$C$6,Einstellungen!$C$7)+1)))</f>
        <v>-</v>
      </c>
      <c r="AI60" s="27" t="n">
        <f aca="false">IF($A60="","",IFERROR(VLOOKUP(AH60,Schichten!$A$5:$G$24,6,FALSE()),0))</f>
        <v>0</v>
      </c>
      <c r="AJ60" s="27" t="n">
        <f aca="false">IF($A60="","",IFERROR(VLOOKUP(AH60,Schichten!$A$5:$G$24,7,FALSE()),0))</f>
        <v>0</v>
      </c>
      <c r="AK60" s="28" t="str">
        <f aca="false">IF($A60="","",IF(N(AI60)=0,"",$A60+VLOOKUP(AH60,Schichten!$A$5:$G$24,3,FALSE())))</f>
        <v/>
      </c>
      <c r="AL60" s="28" t="str">
        <f aca="false">IF(AK60="","",$A60+VLOOKUP(AH60,Schichten!$A$5:$G$24,4,FALSE())+IF(VLOOKUP(AH60,Schichten!$A$5:$G$24,4,FALSE())&lt;=VLOOKUP(AH60,Schichten!$A$5:$G$24,3,FALSE()),1,0))</f>
        <v/>
      </c>
      <c r="AM60" s="28" t="n">
        <f aca="false">IF($A60="","",IF(N(AI59)&gt;0,AL59,AM59))</f>
        <v>46443.25</v>
      </c>
      <c r="AN60" s="27" t="str">
        <f aca="false">IF(OR(AK60="",AM60=""),"",(AK60-AM60)*24)</f>
        <v/>
      </c>
      <c r="AO60" s="21" t="n">
        <f aca="false">IF($A60="","",IF(N(AI60)&gt;0,N(AO59)+1,0))</f>
        <v>0</v>
      </c>
      <c r="AP60" s="21" t="n">
        <f aca="false">IF($A60="","",IF(N(AJ60)&gt;0,N(AP59)+1,0))</f>
        <v>0</v>
      </c>
      <c r="AQ60" s="21" t="str">
        <f aca="false">IF($A60="","",IF(WEEKDAY($A60,2)&lt;&gt;7,"",IF(AND(OR(AK60="",N(AK60)&gt;=$A60+16/24,N(AL60)&lt;=$A60+6/24),OR(AM60="",N(AM60)&lt;=$A60+6/24)),1,0)))</f>
        <v/>
      </c>
      <c r="AR60" s="26" t="str">
        <f aca="false">IF($A60="","",IF(INDEX(Muster!$C$10:$BF$10,1,MOD($A60-Einstellungen!$C$6,Einstellungen!$C$7)+1)="","-",INDEX(Muster!$C$10:$BF$10,1,MOD($A60-Einstellungen!$C$6,Einstellungen!$C$7)+1)))</f>
        <v>-</v>
      </c>
      <c r="AS60" s="27" t="n">
        <f aca="false">IF($A60="","",IFERROR(VLOOKUP(AR60,Schichten!$A$5:$G$24,6,FALSE()),0))</f>
        <v>0</v>
      </c>
      <c r="AT60" s="27" t="n">
        <f aca="false">IF($A60="","",IFERROR(VLOOKUP(AR60,Schichten!$A$5:$G$24,7,FALSE()),0))</f>
        <v>0</v>
      </c>
      <c r="AU60" s="28" t="str">
        <f aca="false">IF($A60="","",IF(N(AS60)=0,"",$A60+VLOOKUP(AR60,Schichten!$A$5:$G$24,3,FALSE())))</f>
        <v/>
      </c>
      <c r="AV60" s="28" t="str">
        <f aca="false">IF(AU60="","",$A60+VLOOKUP(AR60,Schichten!$A$5:$G$24,4,FALSE())+IF(VLOOKUP(AR60,Schichten!$A$5:$G$24,4,FALSE())&lt;=VLOOKUP(AR60,Schichten!$A$5:$G$24,3,FALSE()),1,0))</f>
        <v/>
      </c>
      <c r="AW60" s="28" t="str">
        <f aca="false">IF($A60="","",IF(N(AS59)&gt;0,AV59,AW59))</f>
        <v/>
      </c>
      <c r="AX60" s="27" t="str">
        <f aca="false">IF(OR(AU60="",AW60=""),"",(AU60-AW60)*24)</f>
        <v/>
      </c>
      <c r="AY60" s="21" t="n">
        <f aca="false">IF($A60="","",IF(N(AS60)&gt;0,N(AY59)+1,0))</f>
        <v>0</v>
      </c>
      <c r="AZ60" s="21" t="n">
        <f aca="false">IF($A60="","",IF(N(AT60)&gt;0,N(AZ59)+1,0))</f>
        <v>0</v>
      </c>
      <c r="BA60" s="21" t="str">
        <f aca="false">IF($A60="","",IF(WEEKDAY($A60,2)&lt;&gt;7,"",IF(AND(OR(AU60="",N(AU60)&gt;=$A60+16/24,N(AV60)&lt;=$A60+6/24),OR(AW60="",N(AW60)&lt;=$A60+6/24)),1,0)))</f>
        <v/>
      </c>
    </row>
    <row r="61" customFormat="false" ht="15" hidden="false" customHeight="false" outlineLevel="0" collapsed="false">
      <c r="A61" s="25" t="n">
        <f aca="false">IF(YEAR(DATE(Einstellungen!$C$4,1,1)+56)=Einstellungen!$C$4,DATE(Einstellungen!$C$4,1,1)+56,"")</f>
        <v>46444</v>
      </c>
      <c r="B61" s="26" t="str">
        <f aca="false">IF($A61="","",CHOOSE(WEEKDAY($A61,2),"Mo","Di","Mi","Do","Fr","Sa","So"))</f>
        <v>Fr</v>
      </c>
      <c r="C61" s="26" t="n">
        <f aca="false">IF($A61="","",MONTH($A61))</f>
        <v>2</v>
      </c>
      <c r="D61" s="26" t="str">
        <f aca="false">IF($A61="","",IF(INDEX(Muster!$C$6:$BF$6,1,MOD($A61-Einstellungen!$C$6,Einstellungen!$C$7)+1)="","-",INDEX(Muster!$C$6:$BF$6,1,MOD($A61-Einstellungen!$C$6,Einstellungen!$C$7)+1)))</f>
        <v>N</v>
      </c>
      <c r="E61" s="27" t="n">
        <f aca="false">IF($A61="","",IFERROR(VLOOKUP(D61,Schichten!$A$5:$G$24,6,FALSE()),0))</f>
        <v>8</v>
      </c>
      <c r="F61" s="27" t="n">
        <f aca="false">IF($A61="","",IFERROR(VLOOKUP(D61,Schichten!$A$5:$G$24,7,FALSE()),0))</f>
        <v>7</v>
      </c>
      <c r="G61" s="28" t="n">
        <f aca="false">IF($A61="","",IF(N(E61)=0,"",$A61+VLOOKUP(D61,Schichten!$A$5:$G$24,3,FALSE())))</f>
        <v>46444.9166666667</v>
      </c>
      <c r="H61" s="28" t="n">
        <f aca="false">IF(G61="","",$A61+VLOOKUP(D61,Schichten!$A$5:$G$24,4,FALSE())+IF(VLOOKUP(D61,Schichten!$A$5:$G$24,4,FALSE())&lt;=VLOOKUP(D61,Schichten!$A$5:$G$24,3,FALSE()),1,0))</f>
        <v>46445.25</v>
      </c>
      <c r="I61" s="28" t="n">
        <f aca="false">IF($A61="","",IF(N(E60)&gt;0,H60,I60))</f>
        <v>46444.25</v>
      </c>
      <c r="J61" s="27" t="n">
        <f aca="false">IF(OR(G61="",I61=""),"",(G61-I61)*24)</f>
        <v>16</v>
      </c>
      <c r="K61" s="21" t="n">
        <f aca="false">IF($A61="","",IF(N(E61)&gt;0,N(K60)+1,0))</f>
        <v>6</v>
      </c>
      <c r="L61" s="21" t="n">
        <f aca="false">IF($A61="","",IF(N(F61)&gt;0,N(L60)+1,0))</f>
        <v>2</v>
      </c>
      <c r="M61" s="21" t="str">
        <f aca="false">IF($A61="","",IF(WEEKDAY($A61,2)&lt;&gt;7,"",IF(AND(OR(G61="",N(G61)&gt;=$A61+16/24,N(H61)&lt;=$A61+6/24),OR(I61="",N(I61)&lt;=$A61+6/24)),1,0)))</f>
        <v/>
      </c>
      <c r="N61" s="26" t="str">
        <f aca="false">IF($A61="","",IF(INDEX(Muster!$C$7:$BF$7,1,MOD($A61-Einstellungen!$C$6,Einstellungen!$C$7)+1)="","-",INDEX(Muster!$C$7:$BF$7,1,MOD($A61-Einstellungen!$C$6,Einstellungen!$C$7)+1)))</f>
        <v>S</v>
      </c>
      <c r="O61" s="27" t="n">
        <f aca="false">IF($A61="","",IFERROR(VLOOKUP(N61,Schichten!$A$5:$G$24,6,FALSE()),0))</f>
        <v>8</v>
      </c>
      <c r="P61" s="27" t="n">
        <f aca="false">IF($A61="","",IFERROR(VLOOKUP(N61,Schichten!$A$5:$G$24,7,FALSE()),0))</f>
        <v>0</v>
      </c>
      <c r="Q61" s="28" t="n">
        <f aca="false">IF($A61="","",IF(N(O61)=0,"",$A61+VLOOKUP(N61,Schichten!$A$5:$G$24,3,FALSE())))</f>
        <v>46444.5833333333</v>
      </c>
      <c r="R61" s="28" t="n">
        <f aca="false">IF(Q61="","",$A61+VLOOKUP(N61,Schichten!$A$5:$G$24,4,FALSE())+IF(VLOOKUP(N61,Schichten!$A$5:$G$24,4,FALSE())&lt;=VLOOKUP(N61,Schichten!$A$5:$G$24,3,FALSE()),1,0))</f>
        <v>46444.9166666667</v>
      </c>
      <c r="S61" s="28" t="n">
        <f aca="false">IF($A61="","",IF(N(O60)&gt;0,R60,S60))</f>
        <v>46443.9166666667</v>
      </c>
      <c r="T61" s="27" t="n">
        <f aca="false">IF(OR(Q61="",S61=""),"",(Q61-S61)*24)</f>
        <v>16</v>
      </c>
      <c r="U61" s="21" t="n">
        <f aca="false">IF($A61="","",IF(N(O61)&gt;0,N(U60)+1,0))</f>
        <v>4</v>
      </c>
      <c r="V61" s="21" t="n">
        <f aca="false">IF($A61="","",IF(N(P61)&gt;0,N(V60)+1,0))</f>
        <v>0</v>
      </c>
      <c r="W61" s="21" t="str">
        <f aca="false">IF($A61="","",IF(WEEKDAY($A61,2)&lt;&gt;7,"",IF(AND(OR(Q61="",N(Q61)&gt;=$A61+16/24,N(R61)&lt;=$A61+6/24),OR(S61="",N(S61)&lt;=$A61+6/24)),1,0)))</f>
        <v/>
      </c>
      <c r="X61" s="26" t="str">
        <f aca="false">IF($A61="","",IF(INDEX(Muster!$C$8:$BF$8,1,MOD($A61-Einstellungen!$C$6,Einstellungen!$C$7)+1)="","-",INDEX(Muster!$C$8:$BF$8,1,MOD($A61-Einstellungen!$C$6,Einstellungen!$C$7)+1)))</f>
        <v>F</v>
      </c>
      <c r="Y61" s="27" t="n">
        <f aca="false">IF($A61="","",IFERROR(VLOOKUP(X61,Schichten!$A$5:$G$24,6,FALSE()),0))</f>
        <v>8</v>
      </c>
      <c r="Z61" s="27" t="n">
        <f aca="false">IF($A61="","",IFERROR(VLOOKUP(X61,Schichten!$A$5:$G$24,7,FALSE()),0))</f>
        <v>0</v>
      </c>
      <c r="AA61" s="28" t="n">
        <f aca="false">IF($A61="","",IF(N(Y61)=0,"",$A61+VLOOKUP(X61,Schichten!$A$5:$G$24,3,FALSE())))</f>
        <v>46444.25</v>
      </c>
      <c r="AB61" s="28" t="n">
        <f aca="false">IF(AA61="","",$A61+VLOOKUP(X61,Schichten!$A$5:$G$24,4,FALSE())+IF(VLOOKUP(X61,Schichten!$A$5:$G$24,4,FALSE())&lt;=VLOOKUP(X61,Schichten!$A$5:$G$24,3,FALSE()),1,0))</f>
        <v>46444.5833333333</v>
      </c>
      <c r="AC61" s="28" t="n">
        <f aca="false">IF($A61="","",IF(N(Y60)&gt;0,AB60,AC60))</f>
        <v>46443.5833333333</v>
      </c>
      <c r="AD61" s="27" t="n">
        <f aca="false">IF(OR(AA61="",AC61=""),"",(AA61-AC61)*24)</f>
        <v>16</v>
      </c>
      <c r="AE61" s="21" t="n">
        <f aca="false">IF($A61="","",IF(N(Y61)&gt;0,N(AE60)+1,0))</f>
        <v>2</v>
      </c>
      <c r="AF61" s="21" t="n">
        <f aca="false">IF($A61="","",IF(N(Z61)&gt;0,N(AF60)+1,0))</f>
        <v>0</v>
      </c>
      <c r="AG61" s="21" t="str">
        <f aca="false">IF($A61="","",IF(WEEKDAY($A61,2)&lt;&gt;7,"",IF(AND(OR(AA61="",N(AA61)&gt;=$A61+16/24,N(AB61)&lt;=$A61+6/24),OR(AC61="",N(AC61)&lt;=$A61+6/24)),1,0)))</f>
        <v/>
      </c>
      <c r="AH61" s="26" t="str">
        <f aca="false">IF($A61="","",IF(INDEX(Muster!$C$9:$BF$9,1,MOD($A61-Einstellungen!$C$6,Einstellungen!$C$7)+1)="","-",INDEX(Muster!$C$9:$BF$9,1,MOD($A61-Einstellungen!$C$6,Einstellungen!$C$7)+1)))</f>
        <v>-</v>
      </c>
      <c r="AI61" s="27" t="n">
        <f aca="false">IF($A61="","",IFERROR(VLOOKUP(AH61,Schichten!$A$5:$G$24,6,FALSE()),0))</f>
        <v>0</v>
      </c>
      <c r="AJ61" s="27" t="n">
        <f aca="false">IF($A61="","",IFERROR(VLOOKUP(AH61,Schichten!$A$5:$G$24,7,FALSE()),0))</f>
        <v>0</v>
      </c>
      <c r="AK61" s="28" t="str">
        <f aca="false">IF($A61="","",IF(N(AI61)=0,"",$A61+VLOOKUP(AH61,Schichten!$A$5:$G$24,3,FALSE())))</f>
        <v/>
      </c>
      <c r="AL61" s="28" t="str">
        <f aca="false">IF(AK61="","",$A61+VLOOKUP(AH61,Schichten!$A$5:$G$24,4,FALSE())+IF(VLOOKUP(AH61,Schichten!$A$5:$G$24,4,FALSE())&lt;=VLOOKUP(AH61,Schichten!$A$5:$G$24,3,FALSE()),1,0))</f>
        <v/>
      </c>
      <c r="AM61" s="28" t="n">
        <f aca="false">IF($A61="","",IF(N(AI60)&gt;0,AL60,AM60))</f>
        <v>46443.25</v>
      </c>
      <c r="AN61" s="27" t="str">
        <f aca="false">IF(OR(AK61="",AM61=""),"",(AK61-AM61)*24)</f>
        <v/>
      </c>
      <c r="AO61" s="21" t="n">
        <f aca="false">IF($A61="","",IF(N(AI61)&gt;0,N(AO60)+1,0))</f>
        <v>0</v>
      </c>
      <c r="AP61" s="21" t="n">
        <f aca="false">IF($A61="","",IF(N(AJ61)&gt;0,N(AP60)+1,0))</f>
        <v>0</v>
      </c>
      <c r="AQ61" s="21" t="str">
        <f aca="false">IF($A61="","",IF(WEEKDAY($A61,2)&lt;&gt;7,"",IF(AND(OR(AK61="",N(AK61)&gt;=$A61+16/24,N(AL61)&lt;=$A61+6/24),OR(AM61="",N(AM61)&lt;=$A61+6/24)),1,0)))</f>
        <v/>
      </c>
      <c r="AR61" s="26" t="str">
        <f aca="false">IF($A61="","",IF(INDEX(Muster!$C$10:$BF$10,1,MOD($A61-Einstellungen!$C$6,Einstellungen!$C$7)+1)="","-",INDEX(Muster!$C$10:$BF$10,1,MOD($A61-Einstellungen!$C$6,Einstellungen!$C$7)+1)))</f>
        <v>-</v>
      </c>
      <c r="AS61" s="27" t="n">
        <f aca="false">IF($A61="","",IFERROR(VLOOKUP(AR61,Schichten!$A$5:$G$24,6,FALSE()),0))</f>
        <v>0</v>
      </c>
      <c r="AT61" s="27" t="n">
        <f aca="false">IF($A61="","",IFERROR(VLOOKUP(AR61,Schichten!$A$5:$G$24,7,FALSE()),0))</f>
        <v>0</v>
      </c>
      <c r="AU61" s="28" t="str">
        <f aca="false">IF($A61="","",IF(N(AS61)=0,"",$A61+VLOOKUP(AR61,Schichten!$A$5:$G$24,3,FALSE())))</f>
        <v/>
      </c>
      <c r="AV61" s="28" t="str">
        <f aca="false">IF(AU61="","",$A61+VLOOKUP(AR61,Schichten!$A$5:$G$24,4,FALSE())+IF(VLOOKUP(AR61,Schichten!$A$5:$G$24,4,FALSE())&lt;=VLOOKUP(AR61,Schichten!$A$5:$G$24,3,FALSE()),1,0))</f>
        <v/>
      </c>
      <c r="AW61" s="28" t="str">
        <f aca="false">IF($A61="","",IF(N(AS60)&gt;0,AV60,AW60))</f>
        <v/>
      </c>
      <c r="AX61" s="27" t="str">
        <f aca="false">IF(OR(AU61="",AW61=""),"",(AU61-AW61)*24)</f>
        <v/>
      </c>
      <c r="AY61" s="21" t="n">
        <f aca="false">IF($A61="","",IF(N(AS61)&gt;0,N(AY60)+1,0))</f>
        <v>0</v>
      </c>
      <c r="AZ61" s="21" t="n">
        <f aca="false">IF($A61="","",IF(N(AT61)&gt;0,N(AZ60)+1,0))</f>
        <v>0</v>
      </c>
      <c r="BA61" s="21" t="str">
        <f aca="false">IF($A61="","",IF(WEEKDAY($A61,2)&lt;&gt;7,"",IF(AND(OR(AU61="",N(AU61)&gt;=$A61+16/24,N(AV61)&lt;=$A61+6/24),OR(AW61="",N(AW61)&lt;=$A61+6/24)),1,0)))</f>
        <v/>
      </c>
    </row>
    <row r="62" customFormat="false" ht="15" hidden="false" customHeight="false" outlineLevel="0" collapsed="false">
      <c r="A62" s="25" t="n">
        <f aca="false">IF(YEAR(DATE(Einstellungen!$C$4,1,1)+57)=Einstellungen!$C$4,DATE(Einstellungen!$C$4,1,1)+57,"")</f>
        <v>46445</v>
      </c>
      <c r="B62" s="26" t="str">
        <f aca="false">IF($A62="","",CHOOSE(WEEKDAY($A62,2),"Mo","Di","Mi","Do","Fr","Sa","So"))</f>
        <v>Sa</v>
      </c>
      <c r="C62" s="26" t="n">
        <f aca="false">IF($A62="","",MONTH($A62))</f>
        <v>2</v>
      </c>
      <c r="D62" s="26" t="str">
        <f aca="false">IF($A62="","",IF(INDEX(Muster!$C$6:$BF$6,1,MOD($A62-Einstellungen!$C$6,Einstellungen!$C$7)+1)="","-",INDEX(Muster!$C$6:$BF$6,1,MOD($A62-Einstellungen!$C$6,Einstellungen!$C$7)+1)))</f>
        <v>-</v>
      </c>
      <c r="E62" s="27" t="n">
        <f aca="false">IF($A62="","",IFERROR(VLOOKUP(D62,Schichten!$A$5:$G$24,6,FALSE()),0))</f>
        <v>0</v>
      </c>
      <c r="F62" s="27" t="n">
        <f aca="false">IF($A62="","",IFERROR(VLOOKUP(D62,Schichten!$A$5:$G$24,7,FALSE()),0))</f>
        <v>0</v>
      </c>
      <c r="G62" s="28" t="str">
        <f aca="false">IF($A62="","",IF(N(E62)=0,"",$A62+VLOOKUP(D62,Schichten!$A$5:$G$24,3,FALSE())))</f>
        <v/>
      </c>
      <c r="H62" s="28" t="str">
        <f aca="false">IF(G62="","",$A62+VLOOKUP(D62,Schichten!$A$5:$G$24,4,FALSE())+IF(VLOOKUP(D62,Schichten!$A$5:$G$24,4,FALSE())&lt;=VLOOKUP(D62,Schichten!$A$5:$G$24,3,FALSE()),1,0))</f>
        <v/>
      </c>
      <c r="I62" s="28" t="n">
        <f aca="false">IF($A62="","",IF(N(E61)&gt;0,H61,I61))</f>
        <v>46445.25</v>
      </c>
      <c r="J62" s="27" t="str">
        <f aca="false">IF(OR(G62="",I62=""),"",(G62-I62)*24)</f>
        <v/>
      </c>
      <c r="K62" s="21" t="n">
        <f aca="false">IF($A62="","",IF(N(E62)&gt;0,N(K61)+1,0))</f>
        <v>0</v>
      </c>
      <c r="L62" s="21" t="n">
        <f aca="false">IF($A62="","",IF(N(F62)&gt;0,N(L61)+1,0))</f>
        <v>0</v>
      </c>
      <c r="M62" s="21" t="str">
        <f aca="false">IF($A62="","",IF(WEEKDAY($A62,2)&lt;&gt;7,"",IF(AND(OR(G62="",N(G62)&gt;=$A62+16/24,N(H62)&lt;=$A62+6/24),OR(I62="",N(I62)&lt;=$A62+6/24)),1,0)))</f>
        <v/>
      </c>
      <c r="N62" s="26" t="str">
        <f aca="false">IF($A62="","",IF(INDEX(Muster!$C$7:$BF$7,1,MOD($A62-Einstellungen!$C$6,Einstellungen!$C$7)+1)="","-",INDEX(Muster!$C$7:$BF$7,1,MOD($A62-Einstellungen!$C$6,Einstellungen!$C$7)+1)))</f>
        <v>N</v>
      </c>
      <c r="O62" s="27" t="n">
        <f aca="false">IF($A62="","",IFERROR(VLOOKUP(N62,Schichten!$A$5:$G$24,6,FALSE()),0))</f>
        <v>8</v>
      </c>
      <c r="P62" s="27" t="n">
        <f aca="false">IF($A62="","",IFERROR(VLOOKUP(N62,Schichten!$A$5:$G$24,7,FALSE()),0))</f>
        <v>7</v>
      </c>
      <c r="Q62" s="28" t="n">
        <f aca="false">IF($A62="","",IF(N(O62)=0,"",$A62+VLOOKUP(N62,Schichten!$A$5:$G$24,3,FALSE())))</f>
        <v>46445.9166666667</v>
      </c>
      <c r="R62" s="28" t="n">
        <f aca="false">IF(Q62="","",$A62+VLOOKUP(N62,Schichten!$A$5:$G$24,4,FALSE())+IF(VLOOKUP(N62,Schichten!$A$5:$G$24,4,FALSE())&lt;=VLOOKUP(N62,Schichten!$A$5:$G$24,3,FALSE()),1,0))</f>
        <v>46446.25</v>
      </c>
      <c r="S62" s="28" t="n">
        <f aca="false">IF($A62="","",IF(N(O61)&gt;0,R61,S61))</f>
        <v>46444.9166666667</v>
      </c>
      <c r="T62" s="27" t="n">
        <f aca="false">IF(OR(Q62="",S62=""),"",(Q62-S62)*24)</f>
        <v>24</v>
      </c>
      <c r="U62" s="21" t="n">
        <f aca="false">IF($A62="","",IF(N(O62)&gt;0,N(U61)+1,0))</f>
        <v>5</v>
      </c>
      <c r="V62" s="21" t="n">
        <f aca="false">IF($A62="","",IF(N(P62)&gt;0,N(V61)+1,0))</f>
        <v>1</v>
      </c>
      <c r="W62" s="21" t="str">
        <f aca="false">IF($A62="","",IF(WEEKDAY($A62,2)&lt;&gt;7,"",IF(AND(OR(Q62="",N(Q62)&gt;=$A62+16/24,N(R62)&lt;=$A62+6/24),OR(S62="",N(S62)&lt;=$A62+6/24)),1,0)))</f>
        <v/>
      </c>
      <c r="X62" s="26" t="str">
        <f aca="false">IF($A62="","",IF(INDEX(Muster!$C$8:$BF$8,1,MOD($A62-Einstellungen!$C$6,Einstellungen!$C$7)+1)="","-",INDEX(Muster!$C$8:$BF$8,1,MOD($A62-Einstellungen!$C$6,Einstellungen!$C$7)+1)))</f>
        <v>S</v>
      </c>
      <c r="Y62" s="27" t="n">
        <f aca="false">IF($A62="","",IFERROR(VLOOKUP(X62,Schichten!$A$5:$G$24,6,FALSE()),0))</f>
        <v>8</v>
      </c>
      <c r="Z62" s="27" t="n">
        <f aca="false">IF($A62="","",IFERROR(VLOOKUP(X62,Schichten!$A$5:$G$24,7,FALSE()),0))</f>
        <v>0</v>
      </c>
      <c r="AA62" s="28" t="n">
        <f aca="false">IF($A62="","",IF(N(Y62)=0,"",$A62+VLOOKUP(X62,Schichten!$A$5:$G$24,3,FALSE())))</f>
        <v>46445.5833333333</v>
      </c>
      <c r="AB62" s="28" t="n">
        <f aca="false">IF(AA62="","",$A62+VLOOKUP(X62,Schichten!$A$5:$G$24,4,FALSE())+IF(VLOOKUP(X62,Schichten!$A$5:$G$24,4,FALSE())&lt;=VLOOKUP(X62,Schichten!$A$5:$G$24,3,FALSE()),1,0))</f>
        <v>46445.9166666667</v>
      </c>
      <c r="AC62" s="28" t="n">
        <f aca="false">IF($A62="","",IF(N(Y61)&gt;0,AB61,AC61))</f>
        <v>46444.5833333333</v>
      </c>
      <c r="AD62" s="27" t="n">
        <f aca="false">IF(OR(AA62="",AC62=""),"",(AA62-AC62)*24)</f>
        <v>24</v>
      </c>
      <c r="AE62" s="21" t="n">
        <f aca="false">IF($A62="","",IF(N(Y62)&gt;0,N(AE61)+1,0))</f>
        <v>3</v>
      </c>
      <c r="AF62" s="21" t="n">
        <f aca="false">IF($A62="","",IF(N(Z62)&gt;0,N(AF61)+1,0))</f>
        <v>0</v>
      </c>
      <c r="AG62" s="21" t="str">
        <f aca="false">IF($A62="","",IF(WEEKDAY($A62,2)&lt;&gt;7,"",IF(AND(OR(AA62="",N(AA62)&gt;=$A62+16/24,N(AB62)&lt;=$A62+6/24),OR(AC62="",N(AC62)&lt;=$A62+6/24)),1,0)))</f>
        <v/>
      </c>
      <c r="AH62" s="26" t="str">
        <f aca="false">IF($A62="","",IF(INDEX(Muster!$C$9:$BF$9,1,MOD($A62-Einstellungen!$C$6,Einstellungen!$C$7)+1)="","-",INDEX(Muster!$C$9:$BF$9,1,MOD($A62-Einstellungen!$C$6,Einstellungen!$C$7)+1)))</f>
        <v>F</v>
      </c>
      <c r="AI62" s="27" t="n">
        <f aca="false">IF($A62="","",IFERROR(VLOOKUP(AH62,Schichten!$A$5:$G$24,6,FALSE()),0))</f>
        <v>8</v>
      </c>
      <c r="AJ62" s="27" t="n">
        <f aca="false">IF($A62="","",IFERROR(VLOOKUP(AH62,Schichten!$A$5:$G$24,7,FALSE()),0))</f>
        <v>0</v>
      </c>
      <c r="AK62" s="28" t="n">
        <f aca="false">IF($A62="","",IF(N(AI62)=0,"",$A62+VLOOKUP(AH62,Schichten!$A$5:$G$24,3,FALSE())))</f>
        <v>46445.25</v>
      </c>
      <c r="AL62" s="28" t="n">
        <f aca="false">IF(AK62="","",$A62+VLOOKUP(AH62,Schichten!$A$5:$G$24,4,FALSE())+IF(VLOOKUP(AH62,Schichten!$A$5:$G$24,4,FALSE())&lt;=VLOOKUP(AH62,Schichten!$A$5:$G$24,3,FALSE()),1,0))</f>
        <v>46445.5833333333</v>
      </c>
      <c r="AM62" s="28" t="n">
        <f aca="false">IF($A62="","",IF(N(AI61)&gt;0,AL61,AM61))</f>
        <v>46443.25</v>
      </c>
      <c r="AN62" s="27" t="n">
        <f aca="false">IF(OR(AK62="",AM62=""),"",(AK62-AM62)*24)</f>
        <v>48</v>
      </c>
      <c r="AO62" s="21" t="n">
        <f aca="false">IF($A62="","",IF(N(AI62)&gt;0,N(AO61)+1,0))</f>
        <v>1</v>
      </c>
      <c r="AP62" s="21" t="n">
        <f aca="false">IF($A62="","",IF(N(AJ62)&gt;0,N(AP61)+1,0))</f>
        <v>0</v>
      </c>
      <c r="AQ62" s="21" t="str">
        <f aca="false">IF($A62="","",IF(WEEKDAY($A62,2)&lt;&gt;7,"",IF(AND(OR(AK62="",N(AK62)&gt;=$A62+16/24,N(AL62)&lt;=$A62+6/24),OR(AM62="",N(AM62)&lt;=$A62+6/24)),1,0)))</f>
        <v/>
      </c>
      <c r="AR62" s="26" t="str">
        <f aca="false">IF($A62="","",IF(INDEX(Muster!$C$10:$BF$10,1,MOD($A62-Einstellungen!$C$6,Einstellungen!$C$7)+1)="","-",INDEX(Muster!$C$10:$BF$10,1,MOD($A62-Einstellungen!$C$6,Einstellungen!$C$7)+1)))</f>
        <v>-</v>
      </c>
      <c r="AS62" s="27" t="n">
        <f aca="false">IF($A62="","",IFERROR(VLOOKUP(AR62,Schichten!$A$5:$G$24,6,FALSE()),0))</f>
        <v>0</v>
      </c>
      <c r="AT62" s="27" t="n">
        <f aca="false">IF($A62="","",IFERROR(VLOOKUP(AR62,Schichten!$A$5:$G$24,7,FALSE()),0))</f>
        <v>0</v>
      </c>
      <c r="AU62" s="28" t="str">
        <f aca="false">IF($A62="","",IF(N(AS62)=0,"",$A62+VLOOKUP(AR62,Schichten!$A$5:$G$24,3,FALSE())))</f>
        <v/>
      </c>
      <c r="AV62" s="28" t="str">
        <f aca="false">IF(AU62="","",$A62+VLOOKUP(AR62,Schichten!$A$5:$G$24,4,FALSE())+IF(VLOOKUP(AR62,Schichten!$A$5:$G$24,4,FALSE())&lt;=VLOOKUP(AR62,Schichten!$A$5:$G$24,3,FALSE()),1,0))</f>
        <v/>
      </c>
      <c r="AW62" s="28" t="str">
        <f aca="false">IF($A62="","",IF(N(AS61)&gt;0,AV61,AW61))</f>
        <v/>
      </c>
      <c r="AX62" s="27" t="str">
        <f aca="false">IF(OR(AU62="",AW62=""),"",(AU62-AW62)*24)</f>
        <v/>
      </c>
      <c r="AY62" s="21" t="n">
        <f aca="false">IF($A62="","",IF(N(AS62)&gt;0,N(AY61)+1,0))</f>
        <v>0</v>
      </c>
      <c r="AZ62" s="21" t="n">
        <f aca="false">IF($A62="","",IF(N(AT62)&gt;0,N(AZ61)+1,0))</f>
        <v>0</v>
      </c>
      <c r="BA62" s="21" t="str">
        <f aca="false">IF($A62="","",IF(WEEKDAY($A62,2)&lt;&gt;7,"",IF(AND(OR(AU62="",N(AU62)&gt;=$A62+16/24,N(AV62)&lt;=$A62+6/24),OR(AW62="",N(AW62)&lt;=$A62+6/24)),1,0)))</f>
        <v/>
      </c>
    </row>
    <row r="63" customFormat="false" ht="15" hidden="false" customHeight="false" outlineLevel="0" collapsed="false">
      <c r="A63" s="25" t="n">
        <f aca="false">IF(YEAR(DATE(Einstellungen!$C$4,1,1)+58)=Einstellungen!$C$4,DATE(Einstellungen!$C$4,1,1)+58,"")</f>
        <v>46446</v>
      </c>
      <c r="B63" s="26" t="str">
        <f aca="false">IF($A63="","",CHOOSE(WEEKDAY($A63,2),"Mo","Di","Mi","Do","Fr","Sa","So"))</f>
        <v>So</v>
      </c>
      <c r="C63" s="26" t="n">
        <f aca="false">IF($A63="","",MONTH($A63))</f>
        <v>2</v>
      </c>
      <c r="D63" s="26" t="str">
        <f aca="false">IF($A63="","",IF(INDEX(Muster!$C$6:$BF$6,1,MOD($A63-Einstellungen!$C$6,Einstellungen!$C$7)+1)="","-",INDEX(Muster!$C$6:$BF$6,1,MOD($A63-Einstellungen!$C$6,Einstellungen!$C$7)+1)))</f>
        <v>-</v>
      </c>
      <c r="E63" s="27" t="n">
        <f aca="false">IF($A63="","",IFERROR(VLOOKUP(D63,Schichten!$A$5:$G$24,6,FALSE()),0))</f>
        <v>0</v>
      </c>
      <c r="F63" s="27" t="n">
        <f aca="false">IF($A63="","",IFERROR(VLOOKUP(D63,Schichten!$A$5:$G$24,7,FALSE()),0))</f>
        <v>0</v>
      </c>
      <c r="G63" s="28" t="str">
        <f aca="false">IF($A63="","",IF(N(E63)=0,"",$A63+VLOOKUP(D63,Schichten!$A$5:$G$24,3,FALSE())))</f>
        <v/>
      </c>
      <c r="H63" s="28" t="str">
        <f aca="false">IF(G63="","",$A63+VLOOKUP(D63,Schichten!$A$5:$G$24,4,FALSE())+IF(VLOOKUP(D63,Schichten!$A$5:$G$24,4,FALSE())&lt;=VLOOKUP(D63,Schichten!$A$5:$G$24,3,FALSE()),1,0))</f>
        <v/>
      </c>
      <c r="I63" s="28" t="n">
        <f aca="false">IF($A63="","",IF(N(E62)&gt;0,H62,I62))</f>
        <v>46445.25</v>
      </c>
      <c r="J63" s="27" t="str">
        <f aca="false">IF(OR(G63="",I63=""),"",(G63-I63)*24)</f>
        <v/>
      </c>
      <c r="K63" s="21" t="n">
        <f aca="false">IF($A63="","",IF(N(E63)&gt;0,N(K62)+1,0))</f>
        <v>0</v>
      </c>
      <c r="L63" s="21" t="n">
        <f aca="false">IF($A63="","",IF(N(F63)&gt;0,N(L62)+1,0))</f>
        <v>0</v>
      </c>
      <c r="M63" s="21" t="n">
        <f aca="false">IF($A63="","",IF(WEEKDAY($A63,2)&lt;&gt;7,"",IF(AND(OR(G63="",N(G63)&gt;=$A63+16/24,N(H63)&lt;=$A63+6/24),OR(I63="",N(I63)&lt;=$A63+6/24)),1,0)))</f>
        <v>1</v>
      </c>
      <c r="N63" s="26" t="str">
        <f aca="false">IF($A63="","",IF(INDEX(Muster!$C$7:$BF$7,1,MOD($A63-Einstellungen!$C$6,Einstellungen!$C$7)+1)="","-",INDEX(Muster!$C$7:$BF$7,1,MOD($A63-Einstellungen!$C$6,Einstellungen!$C$7)+1)))</f>
        <v>N</v>
      </c>
      <c r="O63" s="27" t="n">
        <f aca="false">IF($A63="","",IFERROR(VLOOKUP(N63,Schichten!$A$5:$G$24,6,FALSE()),0))</f>
        <v>8</v>
      </c>
      <c r="P63" s="27" t="n">
        <f aca="false">IF($A63="","",IFERROR(VLOOKUP(N63,Schichten!$A$5:$G$24,7,FALSE()),0))</f>
        <v>7</v>
      </c>
      <c r="Q63" s="28" t="n">
        <f aca="false">IF($A63="","",IF(N(O63)=0,"",$A63+VLOOKUP(N63,Schichten!$A$5:$G$24,3,FALSE())))</f>
        <v>46446.9166666667</v>
      </c>
      <c r="R63" s="28" t="n">
        <f aca="false">IF(Q63="","",$A63+VLOOKUP(N63,Schichten!$A$5:$G$24,4,FALSE())+IF(VLOOKUP(N63,Schichten!$A$5:$G$24,4,FALSE())&lt;=VLOOKUP(N63,Schichten!$A$5:$G$24,3,FALSE()),1,0))</f>
        <v>46447.25</v>
      </c>
      <c r="S63" s="28" t="n">
        <f aca="false">IF($A63="","",IF(N(O62)&gt;0,R62,S62))</f>
        <v>46446.25</v>
      </c>
      <c r="T63" s="27" t="n">
        <f aca="false">IF(OR(Q63="",S63=""),"",(Q63-S63)*24)</f>
        <v>16</v>
      </c>
      <c r="U63" s="21" t="n">
        <f aca="false">IF($A63="","",IF(N(O63)&gt;0,N(U62)+1,0))</f>
        <v>6</v>
      </c>
      <c r="V63" s="21" t="n">
        <f aca="false">IF($A63="","",IF(N(P63)&gt;0,N(V62)+1,0))</f>
        <v>2</v>
      </c>
      <c r="W63" s="21" t="n">
        <f aca="false">IF($A63="","",IF(WEEKDAY($A63,2)&lt;&gt;7,"",IF(AND(OR(Q63="",N(Q63)&gt;=$A63+16/24,N(R63)&lt;=$A63+6/24),OR(S63="",N(S63)&lt;=$A63+6/24)),1,0)))</f>
        <v>1</v>
      </c>
      <c r="X63" s="26" t="str">
        <f aca="false">IF($A63="","",IF(INDEX(Muster!$C$8:$BF$8,1,MOD($A63-Einstellungen!$C$6,Einstellungen!$C$7)+1)="","-",INDEX(Muster!$C$8:$BF$8,1,MOD($A63-Einstellungen!$C$6,Einstellungen!$C$7)+1)))</f>
        <v>S</v>
      </c>
      <c r="Y63" s="27" t="n">
        <f aca="false">IF($A63="","",IFERROR(VLOOKUP(X63,Schichten!$A$5:$G$24,6,FALSE()),0))</f>
        <v>8</v>
      </c>
      <c r="Z63" s="27" t="n">
        <f aca="false">IF($A63="","",IFERROR(VLOOKUP(X63,Schichten!$A$5:$G$24,7,FALSE()),0))</f>
        <v>0</v>
      </c>
      <c r="AA63" s="28" t="n">
        <f aca="false">IF($A63="","",IF(N(Y63)=0,"",$A63+VLOOKUP(X63,Schichten!$A$5:$G$24,3,FALSE())))</f>
        <v>46446.5833333333</v>
      </c>
      <c r="AB63" s="28" t="n">
        <f aca="false">IF(AA63="","",$A63+VLOOKUP(X63,Schichten!$A$5:$G$24,4,FALSE())+IF(VLOOKUP(X63,Schichten!$A$5:$G$24,4,FALSE())&lt;=VLOOKUP(X63,Schichten!$A$5:$G$24,3,FALSE()),1,0))</f>
        <v>46446.9166666667</v>
      </c>
      <c r="AC63" s="28" t="n">
        <f aca="false">IF($A63="","",IF(N(Y62)&gt;0,AB62,AC62))</f>
        <v>46445.9166666667</v>
      </c>
      <c r="AD63" s="27" t="n">
        <f aca="false">IF(OR(AA63="",AC63=""),"",(AA63-AC63)*24)</f>
        <v>16</v>
      </c>
      <c r="AE63" s="21" t="n">
        <f aca="false">IF($A63="","",IF(N(Y63)&gt;0,N(AE62)+1,0))</f>
        <v>4</v>
      </c>
      <c r="AF63" s="21" t="n">
        <f aca="false">IF($A63="","",IF(N(Z63)&gt;0,N(AF62)+1,0))</f>
        <v>0</v>
      </c>
      <c r="AG63" s="21" t="n">
        <f aca="false">IF($A63="","",IF(WEEKDAY($A63,2)&lt;&gt;7,"",IF(AND(OR(AA63="",N(AA63)&gt;=$A63+16/24,N(AB63)&lt;=$A63+6/24),OR(AC63="",N(AC63)&lt;=$A63+6/24)),1,0)))</f>
        <v>0</v>
      </c>
      <c r="AH63" s="26" t="str">
        <f aca="false">IF($A63="","",IF(INDEX(Muster!$C$9:$BF$9,1,MOD($A63-Einstellungen!$C$6,Einstellungen!$C$7)+1)="","-",INDEX(Muster!$C$9:$BF$9,1,MOD($A63-Einstellungen!$C$6,Einstellungen!$C$7)+1)))</f>
        <v>F</v>
      </c>
      <c r="AI63" s="27" t="n">
        <f aca="false">IF($A63="","",IFERROR(VLOOKUP(AH63,Schichten!$A$5:$G$24,6,FALSE()),0))</f>
        <v>8</v>
      </c>
      <c r="AJ63" s="27" t="n">
        <f aca="false">IF($A63="","",IFERROR(VLOOKUP(AH63,Schichten!$A$5:$G$24,7,FALSE()),0))</f>
        <v>0</v>
      </c>
      <c r="AK63" s="28" t="n">
        <f aca="false">IF($A63="","",IF(N(AI63)=0,"",$A63+VLOOKUP(AH63,Schichten!$A$5:$G$24,3,FALSE())))</f>
        <v>46446.25</v>
      </c>
      <c r="AL63" s="28" t="n">
        <f aca="false">IF(AK63="","",$A63+VLOOKUP(AH63,Schichten!$A$5:$G$24,4,FALSE())+IF(VLOOKUP(AH63,Schichten!$A$5:$G$24,4,FALSE())&lt;=VLOOKUP(AH63,Schichten!$A$5:$G$24,3,FALSE()),1,0))</f>
        <v>46446.5833333333</v>
      </c>
      <c r="AM63" s="28" t="n">
        <f aca="false">IF($A63="","",IF(N(AI62)&gt;0,AL62,AM62))</f>
        <v>46445.5833333333</v>
      </c>
      <c r="AN63" s="27" t="n">
        <f aca="false">IF(OR(AK63="",AM63=""),"",(AK63-AM63)*24)</f>
        <v>16</v>
      </c>
      <c r="AO63" s="21" t="n">
        <f aca="false">IF($A63="","",IF(N(AI63)&gt;0,N(AO62)+1,0))</f>
        <v>2</v>
      </c>
      <c r="AP63" s="21" t="n">
        <f aca="false">IF($A63="","",IF(N(AJ63)&gt;0,N(AP62)+1,0))</f>
        <v>0</v>
      </c>
      <c r="AQ63" s="21" t="n">
        <f aca="false">IF($A63="","",IF(WEEKDAY($A63,2)&lt;&gt;7,"",IF(AND(OR(AK63="",N(AK63)&gt;=$A63+16/24,N(AL63)&lt;=$A63+6/24),OR(AM63="",N(AM63)&lt;=$A63+6/24)),1,0)))</f>
        <v>0</v>
      </c>
      <c r="AR63" s="26" t="str">
        <f aca="false">IF($A63="","",IF(INDEX(Muster!$C$10:$BF$10,1,MOD($A63-Einstellungen!$C$6,Einstellungen!$C$7)+1)="","-",INDEX(Muster!$C$10:$BF$10,1,MOD($A63-Einstellungen!$C$6,Einstellungen!$C$7)+1)))</f>
        <v>-</v>
      </c>
      <c r="AS63" s="27" t="n">
        <f aca="false">IF($A63="","",IFERROR(VLOOKUP(AR63,Schichten!$A$5:$G$24,6,FALSE()),0))</f>
        <v>0</v>
      </c>
      <c r="AT63" s="27" t="n">
        <f aca="false">IF($A63="","",IFERROR(VLOOKUP(AR63,Schichten!$A$5:$G$24,7,FALSE()),0))</f>
        <v>0</v>
      </c>
      <c r="AU63" s="28" t="str">
        <f aca="false">IF($A63="","",IF(N(AS63)=0,"",$A63+VLOOKUP(AR63,Schichten!$A$5:$G$24,3,FALSE())))</f>
        <v/>
      </c>
      <c r="AV63" s="28" t="str">
        <f aca="false">IF(AU63="","",$A63+VLOOKUP(AR63,Schichten!$A$5:$G$24,4,FALSE())+IF(VLOOKUP(AR63,Schichten!$A$5:$G$24,4,FALSE())&lt;=VLOOKUP(AR63,Schichten!$A$5:$G$24,3,FALSE()),1,0))</f>
        <v/>
      </c>
      <c r="AW63" s="28" t="str">
        <f aca="false">IF($A63="","",IF(N(AS62)&gt;0,AV62,AW62))</f>
        <v/>
      </c>
      <c r="AX63" s="27" t="str">
        <f aca="false">IF(OR(AU63="",AW63=""),"",(AU63-AW63)*24)</f>
        <v/>
      </c>
      <c r="AY63" s="21" t="n">
        <f aca="false">IF($A63="","",IF(N(AS63)&gt;0,N(AY62)+1,0))</f>
        <v>0</v>
      </c>
      <c r="AZ63" s="21" t="n">
        <f aca="false">IF($A63="","",IF(N(AT63)&gt;0,N(AZ62)+1,0))</f>
        <v>0</v>
      </c>
      <c r="BA63" s="21" t="n">
        <f aca="false">IF($A63="","",IF(WEEKDAY($A63,2)&lt;&gt;7,"",IF(AND(OR(AU63="",N(AU63)&gt;=$A63+16/24,N(AV63)&lt;=$A63+6/24),OR(AW63="",N(AW63)&lt;=$A63+6/24)),1,0)))</f>
        <v>1</v>
      </c>
    </row>
    <row r="64" customFormat="false" ht="15" hidden="false" customHeight="false" outlineLevel="0" collapsed="false">
      <c r="A64" s="25" t="n">
        <f aca="false">IF(YEAR(DATE(Einstellungen!$C$4,1,1)+59)=Einstellungen!$C$4,DATE(Einstellungen!$C$4,1,1)+59,"")</f>
        <v>46447</v>
      </c>
      <c r="B64" s="26" t="str">
        <f aca="false">IF($A64="","",CHOOSE(WEEKDAY($A64,2),"Mo","Di","Mi","Do","Fr","Sa","So"))</f>
        <v>Mo</v>
      </c>
      <c r="C64" s="26" t="n">
        <f aca="false">IF($A64="","",MONTH($A64))</f>
        <v>3</v>
      </c>
      <c r="D64" s="26" t="str">
        <f aca="false">IF($A64="","",IF(INDEX(Muster!$C$6:$BF$6,1,MOD($A64-Einstellungen!$C$6,Einstellungen!$C$7)+1)="","-",INDEX(Muster!$C$6:$BF$6,1,MOD($A64-Einstellungen!$C$6,Einstellungen!$C$7)+1)))</f>
        <v>F</v>
      </c>
      <c r="E64" s="27" t="n">
        <f aca="false">IF($A64="","",IFERROR(VLOOKUP(D64,Schichten!$A$5:$G$24,6,FALSE()),0))</f>
        <v>8</v>
      </c>
      <c r="F64" s="27" t="n">
        <f aca="false">IF($A64="","",IFERROR(VLOOKUP(D64,Schichten!$A$5:$G$24,7,FALSE()),0))</f>
        <v>0</v>
      </c>
      <c r="G64" s="28" t="n">
        <f aca="false">IF($A64="","",IF(N(E64)=0,"",$A64+VLOOKUP(D64,Schichten!$A$5:$G$24,3,FALSE())))</f>
        <v>46447.25</v>
      </c>
      <c r="H64" s="28" t="n">
        <f aca="false">IF(G64="","",$A64+VLOOKUP(D64,Schichten!$A$5:$G$24,4,FALSE())+IF(VLOOKUP(D64,Schichten!$A$5:$G$24,4,FALSE())&lt;=VLOOKUP(D64,Schichten!$A$5:$G$24,3,FALSE()),1,0))</f>
        <v>46447.5833333333</v>
      </c>
      <c r="I64" s="28" t="n">
        <f aca="false">IF($A64="","",IF(N(E63)&gt;0,H63,I63))</f>
        <v>46445.25</v>
      </c>
      <c r="J64" s="27" t="n">
        <f aca="false">IF(OR(G64="",I64=""),"",(G64-I64)*24)</f>
        <v>48</v>
      </c>
      <c r="K64" s="21" t="n">
        <f aca="false">IF($A64="","",IF(N(E64)&gt;0,N(K63)+1,0))</f>
        <v>1</v>
      </c>
      <c r="L64" s="21" t="n">
        <f aca="false">IF($A64="","",IF(N(F64)&gt;0,N(L63)+1,0))</f>
        <v>0</v>
      </c>
      <c r="M64" s="21" t="str">
        <f aca="false">IF($A64="","",IF(WEEKDAY($A64,2)&lt;&gt;7,"",IF(AND(OR(G64="",N(G64)&gt;=$A64+16/24,N(H64)&lt;=$A64+6/24),OR(I64="",N(I64)&lt;=$A64+6/24)),1,0)))</f>
        <v/>
      </c>
      <c r="N64" s="26" t="str">
        <f aca="false">IF($A64="","",IF(INDEX(Muster!$C$7:$BF$7,1,MOD($A64-Einstellungen!$C$6,Einstellungen!$C$7)+1)="","-",INDEX(Muster!$C$7:$BF$7,1,MOD($A64-Einstellungen!$C$6,Einstellungen!$C$7)+1)))</f>
        <v>-</v>
      </c>
      <c r="O64" s="27" t="n">
        <f aca="false">IF($A64="","",IFERROR(VLOOKUP(N64,Schichten!$A$5:$G$24,6,FALSE()),0))</f>
        <v>0</v>
      </c>
      <c r="P64" s="27" t="n">
        <f aca="false">IF($A64="","",IFERROR(VLOOKUP(N64,Schichten!$A$5:$G$24,7,FALSE()),0))</f>
        <v>0</v>
      </c>
      <c r="Q64" s="28" t="str">
        <f aca="false">IF($A64="","",IF(N(O64)=0,"",$A64+VLOOKUP(N64,Schichten!$A$5:$G$24,3,FALSE())))</f>
        <v/>
      </c>
      <c r="R64" s="28" t="str">
        <f aca="false">IF(Q64="","",$A64+VLOOKUP(N64,Schichten!$A$5:$G$24,4,FALSE())+IF(VLOOKUP(N64,Schichten!$A$5:$G$24,4,FALSE())&lt;=VLOOKUP(N64,Schichten!$A$5:$G$24,3,FALSE()),1,0))</f>
        <v/>
      </c>
      <c r="S64" s="28" t="n">
        <f aca="false">IF($A64="","",IF(N(O63)&gt;0,R63,S63))</f>
        <v>46447.25</v>
      </c>
      <c r="T64" s="27" t="str">
        <f aca="false">IF(OR(Q64="",S64=""),"",(Q64-S64)*24)</f>
        <v/>
      </c>
      <c r="U64" s="21" t="n">
        <f aca="false">IF($A64="","",IF(N(O64)&gt;0,N(U63)+1,0))</f>
        <v>0</v>
      </c>
      <c r="V64" s="21" t="n">
        <f aca="false">IF($A64="","",IF(N(P64)&gt;0,N(V63)+1,0))</f>
        <v>0</v>
      </c>
      <c r="W64" s="21" t="str">
        <f aca="false">IF($A64="","",IF(WEEKDAY($A64,2)&lt;&gt;7,"",IF(AND(OR(Q64="",N(Q64)&gt;=$A64+16/24,N(R64)&lt;=$A64+6/24),OR(S64="",N(S64)&lt;=$A64+6/24)),1,0)))</f>
        <v/>
      </c>
      <c r="X64" s="26" t="str">
        <f aca="false">IF($A64="","",IF(INDEX(Muster!$C$8:$BF$8,1,MOD($A64-Einstellungen!$C$6,Einstellungen!$C$7)+1)="","-",INDEX(Muster!$C$8:$BF$8,1,MOD($A64-Einstellungen!$C$6,Einstellungen!$C$7)+1)))</f>
        <v>N</v>
      </c>
      <c r="Y64" s="27" t="n">
        <f aca="false">IF($A64="","",IFERROR(VLOOKUP(X64,Schichten!$A$5:$G$24,6,FALSE()),0))</f>
        <v>8</v>
      </c>
      <c r="Z64" s="27" t="n">
        <f aca="false">IF($A64="","",IFERROR(VLOOKUP(X64,Schichten!$A$5:$G$24,7,FALSE()),0))</f>
        <v>7</v>
      </c>
      <c r="AA64" s="28" t="n">
        <f aca="false">IF($A64="","",IF(N(Y64)=0,"",$A64+VLOOKUP(X64,Schichten!$A$5:$G$24,3,FALSE())))</f>
        <v>46447.9166666667</v>
      </c>
      <c r="AB64" s="28" t="n">
        <f aca="false">IF(AA64="","",$A64+VLOOKUP(X64,Schichten!$A$5:$G$24,4,FALSE())+IF(VLOOKUP(X64,Schichten!$A$5:$G$24,4,FALSE())&lt;=VLOOKUP(X64,Schichten!$A$5:$G$24,3,FALSE()),1,0))</f>
        <v>46448.25</v>
      </c>
      <c r="AC64" s="28" t="n">
        <f aca="false">IF($A64="","",IF(N(Y63)&gt;0,AB63,AC63))</f>
        <v>46446.9166666667</v>
      </c>
      <c r="AD64" s="27" t="n">
        <f aca="false">IF(OR(AA64="",AC64=""),"",(AA64-AC64)*24)</f>
        <v>24</v>
      </c>
      <c r="AE64" s="21" t="n">
        <f aca="false">IF($A64="","",IF(N(Y64)&gt;0,N(AE63)+1,0))</f>
        <v>5</v>
      </c>
      <c r="AF64" s="21" t="n">
        <f aca="false">IF($A64="","",IF(N(Z64)&gt;0,N(AF63)+1,0))</f>
        <v>1</v>
      </c>
      <c r="AG64" s="21" t="str">
        <f aca="false">IF($A64="","",IF(WEEKDAY($A64,2)&lt;&gt;7,"",IF(AND(OR(AA64="",N(AA64)&gt;=$A64+16/24,N(AB64)&lt;=$A64+6/24),OR(AC64="",N(AC64)&lt;=$A64+6/24)),1,0)))</f>
        <v/>
      </c>
      <c r="AH64" s="26" t="str">
        <f aca="false">IF($A64="","",IF(INDEX(Muster!$C$9:$BF$9,1,MOD($A64-Einstellungen!$C$6,Einstellungen!$C$7)+1)="","-",INDEX(Muster!$C$9:$BF$9,1,MOD($A64-Einstellungen!$C$6,Einstellungen!$C$7)+1)))</f>
        <v>S</v>
      </c>
      <c r="AI64" s="27" t="n">
        <f aca="false">IF($A64="","",IFERROR(VLOOKUP(AH64,Schichten!$A$5:$G$24,6,FALSE()),0))</f>
        <v>8</v>
      </c>
      <c r="AJ64" s="27" t="n">
        <f aca="false">IF($A64="","",IFERROR(VLOOKUP(AH64,Schichten!$A$5:$G$24,7,FALSE()),0))</f>
        <v>0</v>
      </c>
      <c r="AK64" s="28" t="n">
        <f aca="false">IF($A64="","",IF(N(AI64)=0,"",$A64+VLOOKUP(AH64,Schichten!$A$5:$G$24,3,FALSE())))</f>
        <v>46447.5833333333</v>
      </c>
      <c r="AL64" s="28" t="n">
        <f aca="false">IF(AK64="","",$A64+VLOOKUP(AH64,Schichten!$A$5:$G$24,4,FALSE())+IF(VLOOKUP(AH64,Schichten!$A$5:$G$24,4,FALSE())&lt;=VLOOKUP(AH64,Schichten!$A$5:$G$24,3,FALSE()),1,0))</f>
        <v>46447.9166666667</v>
      </c>
      <c r="AM64" s="28" t="n">
        <f aca="false">IF($A64="","",IF(N(AI63)&gt;0,AL63,AM63))</f>
        <v>46446.5833333333</v>
      </c>
      <c r="AN64" s="27" t="n">
        <f aca="false">IF(OR(AK64="",AM64=""),"",(AK64-AM64)*24)</f>
        <v>24</v>
      </c>
      <c r="AO64" s="21" t="n">
        <f aca="false">IF($A64="","",IF(N(AI64)&gt;0,N(AO63)+1,0))</f>
        <v>3</v>
      </c>
      <c r="AP64" s="21" t="n">
        <f aca="false">IF($A64="","",IF(N(AJ64)&gt;0,N(AP63)+1,0))</f>
        <v>0</v>
      </c>
      <c r="AQ64" s="21" t="str">
        <f aca="false">IF($A64="","",IF(WEEKDAY($A64,2)&lt;&gt;7,"",IF(AND(OR(AK64="",N(AK64)&gt;=$A64+16/24,N(AL64)&lt;=$A64+6/24),OR(AM64="",N(AM64)&lt;=$A64+6/24)),1,0)))</f>
        <v/>
      </c>
      <c r="AR64" s="26" t="str">
        <f aca="false">IF($A64="","",IF(INDEX(Muster!$C$10:$BF$10,1,MOD($A64-Einstellungen!$C$6,Einstellungen!$C$7)+1)="","-",INDEX(Muster!$C$10:$BF$10,1,MOD($A64-Einstellungen!$C$6,Einstellungen!$C$7)+1)))</f>
        <v>-</v>
      </c>
      <c r="AS64" s="27" t="n">
        <f aca="false">IF($A64="","",IFERROR(VLOOKUP(AR64,Schichten!$A$5:$G$24,6,FALSE()),0))</f>
        <v>0</v>
      </c>
      <c r="AT64" s="27" t="n">
        <f aca="false">IF($A64="","",IFERROR(VLOOKUP(AR64,Schichten!$A$5:$G$24,7,FALSE()),0))</f>
        <v>0</v>
      </c>
      <c r="AU64" s="28" t="str">
        <f aca="false">IF($A64="","",IF(N(AS64)=0,"",$A64+VLOOKUP(AR64,Schichten!$A$5:$G$24,3,FALSE())))</f>
        <v/>
      </c>
      <c r="AV64" s="28" t="str">
        <f aca="false">IF(AU64="","",$A64+VLOOKUP(AR64,Schichten!$A$5:$G$24,4,FALSE())+IF(VLOOKUP(AR64,Schichten!$A$5:$G$24,4,FALSE())&lt;=VLOOKUP(AR64,Schichten!$A$5:$G$24,3,FALSE()),1,0))</f>
        <v/>
      </c>
      <c r="AW64" s="28" t="str">
        <f aca="false">IF($A64="","",IF(N(AS63)&gt;0,AV63,AW63))</f>
        <v/>
      </c>
      <c r="AX64" s="27" t="str">
        <f aca="false">IF(OR(AU64="",AW64=""),"",(AU64-AW64)*24)</f>
        <v/>
      </c>
      <c r="AY64" s="21" t="n">
        <f aca="false">IF($A64="","",IF(N(AS64)&gt;0,N(AY63)+1,0))</f>
        <v>0</v>
      </c>
      <c r="AZ64" s="21" t="n">
        <f aca="false">IF($A64="","",IF(N(AT64)&gt;0,N(AZ63)+1,0))</f>
        <v>0</v>
      </c>
      <c r="BA64" s="21" t="str">
        <f aca="false">IF($A64="","",IF(WEEKDAY($A64,2)&lt;&gt;7,"",IF(AND(OR(AU64="",N(AU64)&gt;=$A64+16/24,N(AV64)&lt;=$A64+6/24),OR(AW64="",N(AW64)&lt;=$A64+6/24)),1,0)))</f>
        <v/>
      </c>
    </row>
    <row r="65" customFormat="false" ht="15" hidden="false" customHeight="false" outlineLevel="0" collapsed="false">
      <c r="A65" s="25" t="n">
        <f aca="false">IF(YEAR(DATE(Einstellungen!$C$4,1,1)+60)=Einstellungen!$C$4,DATE(Einstellungen!$C$4,1,1)+60,"")</f>
        <v>46448</v>
      </c>
      <c r="B65" s="26" t="str">
        <f aca="false">IF($A65="","",CHOOSE(WEEKDAY($A65,2),"Mo","Di","Mi","Do","Fr","Sa","So"))</f>
        <v>Di</v>
      </c>
      <c r="C65" s="26" t="n">
        <f aca="false">IF($A65="","",MONTH($A65))</f>
        <v>3</v>
      </c>
      <c r="D65" s="26" t="str">
        <f aca="false">IF($A65="","",IF(INDEX(Muster!$C$6:$BF$6,1,MOD($A65-Einstellungen!$C$6,Einstellungen!$C$7)+1)="","-",INDEX(Muster!$C$6:$BF$6,1,MOD($A65-Einstellungen!$C$6,Einstellungen!$C$7)+1)))</f>
        <v>F</v>
      </c>
      <c r="E65" s="27" t="n">
        <f aca="false">IF($A65="","",IFERROR(VLOOKUP(D65,Schichten!$A$5:$G$24,6,FALSE()),0))</f>
        <v>8</v>
      </c>
      <c r="F65" s="27" t="n">
        <f aca="false">IF($A65="","",IFERROR(VLOOKUP(D65,Schichten!$A$5:$G$24,7,FALSE()),0))</f>
        <v>0</v>
      </c>
      <c r="G65" s="28" t="n">
        <f aca="false">IF($A65="","",IF(N(E65)=0,"",$A65+VLOOKUP(D65,Schichten!$A$5:$G$24,3,FALSE())))</f>
        <v>46448.25</v>
      </c>
      <c r="H65" s="28" t="n">
        <f aca="false">IF(G65="","",$A65+VLOOKUP(D65,Schichten!$A$5:$G$24,4,FALSE())+IF(VLOOKUP(D65,Schichten!$A$5:$G$24,4,FALSE())&lt;=VLOOKUP(D65,Schichten!$A$5:$G$24,3,FALSE()),1,0))</f>
        <v>46448.5833333333</v>
      </c>
      <c r="I65" s="28" t="n">
        <f aca="false">IF($A65="","",IF(N(E64)&gt;0,H64,I64))</f>
        <v>46447.5833333333</v>
      </c>
      <c r="J65" s="27" t="n">
        <f aca="false">IF(OR(G65="",I65=""),"",(G65-I65)*24)</f>
        <v>16</v>
      </c>
      <c r="K65" s="21" t="n">
        <f aca="false">IF($A65="","",IF(N(E65)&gt;0,N(K64)+1,0))</f>
        <v>2</v>
      </c>
      <c r="L65" s="21" t="n">
        <f aca="false">IF($A65="","",IF(N(F65)&gt;0,N(L64)+1,0))</f>
        <v>0</v>
      </c>
      <c r="M65" s="21" t="str">
        <f aca="false">IF($A65="","",IF(WEEKDAY($A65,2)&lt;&gt;7,"",IF(AND(OR(G65="",N(G65)&gt;=$A65+16/24,N(H65)&lt;=$A65+6/24),OR(I65="",N(I65)&lt;=$A65+6/24)),1,0)))</f>
        <v/>
      </c>
      <c r="N65" s="26" t="str">
        <f aca="false">IF($A65="","",IF(INDEX(Muster!$C$7:$BF$7,1,MOD($A65-Einstellungen!$C$6,Einstellungen!$C$7)+1)="","-",INDEX(Muster!$C$7:$BF$7,1,MOD($A65-Einstellungen!$C$6,Einstellungen!$C$7)+1)))</f>
        <v>-</v>
      </c>
      <c r="O65" s="27" t="n">
        <f aca="false">IF($A65="","",IFERROR(VLOOKUP(N65,Schichten!$A$5:$G$24,6,FALSE()),0))</f>
        <v>0</v>
      </c>
      <c r="P65" s="27" t="n">
        <f aca="false">IF($A65="","",IFERROR(VLOOKUP(N65,Schichten!$A$5:$G$24,7,FALSE()),0))</f>
        <v>0</v>
      </c>
      <c r="Q65" s="28" t="str">
        <f aca="false">IF($A65="","",IF(N(O65)=0,"",$A65+VLOOKUP(N65,Schichten!$A$5:$G$24,3,FALSE())))</f>
        <v/>
      </c>
      <c r="R65" s="28" t="str">
        <f aca="false">IF(Q65="","",$A65+VLOOKUP(N65,Schichten!$A$5:$G$24,4,FALSE())+IF(VLOOKUP(N65,Schichten!$A$5:$G$24,4,FALSE())&lt;=VLOOKUP(N65,Schichten!$A$5:$G$24,3,FALSE()),1,0))</f>
        <v/>
      </c>
      <c r="S65" s="28" t="n">
        <f aca="false">IF($A65="","",IF(N(O64)&gt;0,R64,S64))</f>
        <v>46447.25</v>
      </c>
      <c r="T65" s="27" t="str">
        <f aca="false">IF(OR(Q65="",S65=""),"",(Q65-S65)*24)</f>
        <v/>
      </c>
      <c r="U65" s="21" t="n">
        <f aca="false">IF($A65="","",IF(N(O65)&gt;0,N(U64)+1,0))</f>
        <v>0</v>
      </c>
      <c r="V65" s="21" t="n">
        <f aca="false">IF($A65="","",IF(N(P65)&gt;0,N(V64)+1,0))</f>
        <v>0</v>
      </c>
      <c r="W65" s="21" t="str">
        <f aca="false">IF($A65="","",IF(WEEKDAY($A65,2)&lt;&gt;7,"",IF(AND(OR(Q65="",N(Q65)&gt;=$A65+16/24,N(R65)&lt;=$A65+6/24),OR(S65="",N(S65)&lt;=$A65+6/24)),1,0)))</f>
        <v/>
      </c>
      <c r="X65" s="26" t="str">
        <f aca="false">IF($A65="","",IF(INDEX(Muster!$C$8:$BF$8,1,MOD($A65-Einstellungen!$C$6,Einstellungen!$C$7)+1)="","-",INDEX(Muster!$C$8:$BF$8,1,MOD($A65-Einstellungen!$C$6,Einstellungen!$C$7)+1)))</f>
        <v>N</v>
      </c>
      <c r="Y65" s="27" t="n">
        <f aca="false">IF($A65="","",IFERROR(VLOOKUP(X65,Schichten!$A$5:$G$24,6,FALSE()),0))</f>
        <v>8</v>
      </c>
      <c r="Z65" s="27" t="n">
        <f aca="false">IF($A65="","",IFERROR(VLOOKUP(X65,Schichten!$A$5:$G$24,7,FALSE()),0))</f>
        <v>7</v>
      </c>
      <c r="AA65" s="28" t="n">
        <f aca="false">IF($A65="","",IF(N(Y65)=0,"",$A65+VLOOKUP(X65,Schichten!$A$5:$G$24,3,FALSE())))</f>
        <v>46448.9166666667</v>
      </c>
      <c r="AB65" s="28" t="n">
        <f aca="false">IF(AA65="","",$A65+VLOOKUP(X65,Schichten!$A$5:$G$24,4,FALSE())+IF(VLOOKUP(X65,Schichten!$A$5:$G$24,4,FALSE())&lt;=VLOOKUP(X65,Schichten!$A$5:$G$24,3,FALSE()),1,0))</f>
        <v>46449.25</v>
      </c>
      <c r="AC65" s="28" t="n">
        <f aca="false">IF($A65="","",IF(N(Y64)&gt;0,AB64,AC64))</f>
        <v>46448.25</v>
      </c>
      <c r="AD65" s="27" t="n">
        <f aca="false">IF(OR(AA65="",AC65=""),"",(AA65-AC65)*24)</f>
        <v>16</v>
      </c>
      <c r="AE65" s="21" t="n">
        <f aca="false">IF($A65="","",IF(N(Y65)&gt;0,N(AE64)+1,0))</f>
        <v>6</v>
      </c>
      <c r="AF65" s="21" t="n">
        <f aca="false">IF($A65="","",IF(N(Z65)&gt;0,N(AF64)+1,0))</f>
        <v>2</v>
      </c>
      <c r="AG65" s="21" t="str">
        <f aca="false">IF($A65="","",IF(WEEKDAY($A65,2)&lt;&gt;7,"",IF(AND(OR(AA65="",N(AA65)&gt;=$A65+16/24,N(AB65)&lt;=$A65+6/24),OR(AC65="",N(AC65)&lt;=$A65+6/24)),1,0)))</f>
        <v/>
      </c>
      <c r="AH65" s="26" t="str">
        <f aca="false">IF($A65="","",IF(INDEX(Muster!$C$9:$BF$9,1,MOD($A65-Einstellungen!$C$6,Einstellungen!$C$7)+1)="","-",INDEX(Muster!$C$9:$BF$9,1,MOD($A65-Einstellungen!$C$6,Einstellungen!$C$7)+1)))</f>
        <v>S</v>
      </c>
      <c r="AI65" s="27" t="n">
        <f aca="false">IF($A65="","",IFERROR(VLOOKUP(AH65,Schichten!$A$5:$G$24,6,FALSE()),0))</f>
        <v>8</v>
      </c>
      <c r="AJ65" s="27" t="n">
        <f aca="false">IF($A65="","",IFERROR(VLOOKUP(AH65,Schichten!$A$5:$G$24,7,FALSE()),0))</f>
        <v>0</v>
      </c>
      <c r="AK65" s="28" t="n">
        <f aca="false">IF($A65="","",IF(N(AI65)=0,"",$A65+VLOOKUP(AH65,Schichten!$A$5:$G$24,3,FALSE())))</f>
        <v>46448.5833333333</v>
      </c>
      <c r="AL65" s="28" t="n">
        <f aca="false">IF(AK65="","",$A65+VLOOKUP(AH65,Schichten!$A$5:$G$24,4,FALSE())+IF(VLOOKUP(AH65,Schichten!$A$5:$G$24,4,FALSE())&lt;=VLOOKUP(AH65,Schichten!$A$5:$G$24,3,FALSE()),1,0))</f>
        <v>46448.9166666667</v>
      </c>
      <c r="AM65" s="28" t="n">
        <f aca="false">IF($A65="","",IF(N(AI64)&gt;0,AL64,AM64))</f>
        <v>46447.9166666667</v>
      </c>
      <c r="AN65" s="27" t="n">
        <f aca="false">IF(OR(AK65="",AM65=""),"",(AK65-AM65)*24)</f>
        <v>16</v>
      </c>
      <c r="AO65" s="21" t="n">
        <f aca="false">IF($A65="","",IF(N(AI65)&gt;0,N(AO64)+1,0))</f>
        <v>4</v>
      </c>
      <c r="AP65" s="21" t="n">
        <f aca="false">IF($A65="","",IF(N(AJ65)&gt;0,N(AP64)+1,0))</f>
        <v>0</v>
      </c>
      <c r="AQ65" s="21" t="str">
        <f aca="false">IF($A65="","",IF(WEEKDAY($A65,2)&lt;&gt;7,"",IF(AND(OR(AK65="",N(AK65)&gt;=$A65+16/24,N(AL65)&lt;=$A65+6/24),OR(AM65="",N(AM65)&lt;=$A65+6/24)),1,0)))</f>
        <v/>
      </c>
      <c r="AR65" s="26" t="str">
        <f aca="false">IF($A65="","",IF(INDEX(Muster!$C$10:$BF$10,1,MOD($A65-Einstellungen!$C$6,Einstellungen!$C$7)+1)="","-",INDEX(Muster!$C$10:$BF$10,1,MOD($A65-Einstellungen!$C$6,Einstellungen!$C$7)+1)))</f>
        <v>-</v>
      </c>
      <c r="AS65" s="27" t="n">
        <f aca="false">IF($A65="","",IFERROR(VLOOKUP(AR65,Schichten!$A$5:$G$24,6,FALSE()),0))</f>
        <v>0</v>
      </c>
      <c r="AT65" s="27" t="n">
        <f aca="false">IF($A65="","",IFERROR(VLOOKUP(AR65,Schichten!$A$5:$G$24,7,FALSE()),0))</f>
        <v>0</v>
      </c>
      <c r="AU65" s="28" t="str">
        <f aca="false">IF($A65="","",IF(N(AS65)=0,"",$A65+VLOOKUP(AR65,Schichten!$A$5:$G$24,3,FALSE())))</f>
        <v/>
      </c>
      <c r="AV65" s="28" t="str">
        <f aca="false">IF(AU65="","",$A65+VLOOKUP(AR65,Schichten!$A$5:$G$24,4,FALSE())+IF(VLOOKUP(AR65,Schichten!$A$5:$G$24,4,FALSE())&lt;=VLOOKUP(AR65,Schichten!$A$5:$G$24,3,FALSE()),1,0))</f>
        <v/>
      </c>
      <c r="AW65" s="28" t="str">
        <f aca="false">IF($A65="","",IF(N(AS64)&gt;0,AV64,AW64))</f>
        <v/>
      </c>
      <c r="AX65" s="27" t="str">
        <f aca="false">IF(OR(AU65="",AW65=""),"",(AU65-AW65)*24)</f>
        <v/>
      </c>
      <c r="AY65" s="21" t="n">
        <f aca="false">IF($A65="","",IF(N(AS65)&gt;0,N(AY64)+1,0))</f>
        <v>0</v>
      </c>
      <c r="AZ65" s="21" t="n">
        <f aca="false">IF($A65="","",IF(N(AT65)&gt;0,N(AZ64)+1,0))</f>
        <v>0</v>
      </c>
      <c r="BA65" s="21" t="str">
        <f aca="false">IF($A65="","",IF(WEEKDAY($A65,2)&lt;&gt;7,"",IF(AND(OR(AU65="",N(AU65)&gt;=$A65+16/24,N(AV65)&lt;=$A65+6/24),OR(AW65="",N(AW65)&lt;=$A65+6/24)),1,0)))</f>
        <v/>
      </c>
    </row>
    <row r="66" customFormat="false" ht="15" hidden="false" customHeight="false" outlineLevel="0" collapsed="false">
      <c r="A66" s="25" t="n">
        <f aca="false">IF(YEAR(DATE(Einstellungen!$C$4,1,1)+61)=Einstellungen!$C$4,DATE(Einstellungen!$C$4,1,1)+61,"")</f>
        <v>46449</v>
      </c>
      <c r="B66" s="26" t="str">
        <f aca="false">IF($A66="","",CHOOSE(WEEKDAY($A66,2),"Mo","Di","Mi","Do","Fr","Sa","So"))</f>
        <v>Mi</v>
      </c>
      <c r="C66" s="26" t="n">
        <f aca="false">IF($A66="","",MONTH($A66))</f>
        <v>3</v>
      </c>
      <c r="D66" s="26" t="str">
        <f aca="false">IF($A66="","",IF(INDEX(Muster!$C$6:$BF$6,1,MOD($A66-Einstellungen!$C$6,Einstellungen!$C$7)+1)="","-",INDEX(Muster!$C$6:$BF$6,1,MOD($A66-Einstellungen!$C$6,Einstellungen!$C$7)+1)))</f>
        <v>S</v>
      </c>
      <c r="E66" s="27" t="n">
        <f aca="false">IF($A66="","",IFERROR(VLOOKUP(D66,Schichten!$A$5:$G$24,6,FALSE()),0))</f>
        <v>8</v>
      </c>
      <c r="F66" s="27" t="n">
        <f aca="false">IF($A66="","",IFERROR(VLOOKUP(D66,Schichten!$A$5:$G$24,7,FALSE()),0))</f>
        <v>0</v>
      </c>
      <c r="G66" s="28" t="n">
        <f aca="false">IF($A66="","",IF(N(E66)=0,"",$A66+VLOOKUP(D66,Schichten!$A$5:$G$24,3,FALSE())))</f>
        <v>46449.5833333333</v>
      </c>
      <c r="H66" s="28" t="n">
        <f aca="false">IF(G66="","",$A66+VLOOKUP(D66,Schichten!$A$5:$G$24,4,FALSE())+IF(VLOOKUP(D66,Schichten!$A$5:$G$24,4,FALSE())&lt;=VLOOKUP(D66,Schichten!$A$5:$G$24,3,FALSE()),1,0))</f>
        <v>46449.9166666667</v>
      </c>
      <c r="I66" s="28" t="n">
        <f aca="false">IF($A66="","",IF(N(E65)&gt;0,H65,I65))</f>
        <v>46448.5833333333</v>
      </c>
      <c r="J66" s="27" t="n">
        <f aca="false">IF(OR(G66="",I66=""),"",(G66-I66)*24)</f>
        <v>24</v>
      </c>
      <c r="K66" s="21" t="n">
        <f aca="false">IF($A66="","",IF(N(E66)&gt;0,N(K65)+1,0))</f>
        <v>3</v>
      </c>
      <c r="L66" s="21" t="n">
        <f aca="false">IF($A66="","",IF(N(F66)&gt;0,N(L65)+1,0))</f>
        <v>0</v>
      </c>
      <c r="M66" s="21" t="str">
        <f aca="false">IF($A66="","",IF(WEEKDAY($A66,2)&lt;&gt;7,"",IF(AND(OR(G66="",N(G66)&gt;=$A66+16/24,N(H66)&lt;=$A66+6/24),OR(I66="",N(I66)&lt;=$A66+6/24)),1,0)))</f>
        <v/>
      </c>
      <c r="N66" s="26" t="str">
        <f aca="false">IF($A66="","",IF(INDEX(Muster!$C$7:$BF$7,1,MOD($A66-Einstellungen!$C$6,Einstellungen!$C$7)+1)="","-",INDEX(Muster!$C$7:$BF$7,1,MOD($A66-Einstellungen!$C$6,Einstellungen!$C$7)+1)))</f>
        <v>F</v>
      </c>
      <c r="O66" s="27" t="n">
        <f aca="false">IF($A66="","",IFERROR(VLOOKUP(N66,Schichten!$A$5:$G$24,6,FALSE()),0))</f>
        <v>8</v>
      </c>
      <c r="P66" s="27" t="n">
        <f aca="false">IF($A66="","",IFERROR(VLOOKUP(N66,Schichten!$A$5:$G$24,7,FALSE()),0))</f>
        <v>0</v>
      </c>
      <c r="Q66" s="28" t="n">
        <f aca="false">IF($A66="","",IF(N(O66)=0,"",$A66+VLOOKUP(N66,Schichten!$A$5:$G$24,3,FALSE())))</f>
        <v>46449.25</v>
      </c>
      <c r="R66" s="28" t="n">
        <f aca="false">IF(Q66="","",$A66+VLOOKUP(N66,Schichten!$A$5:$G$24,4,FALSE())+IF(VLOOKUP(N66,Schichten!$A$5:$G$24,4,FALSE())&lt;=VLOOKUP(N66,Schichten!$A$5:$G$24,3,FALSE()),1,0))</f>
        <v>46449.5833333333</v>
      </c>
      <c r="S66" s="28" t="n">
        <f aca="false">IF($A66="","",IF(N(O65)&gt;0,R65,S65))</f>
        <v>46447.25</v>
      </c>
      <c r="T66" s="27" t="n">
        <f aca="false">IF(OR(Q66="",S66=""),"",(Q66-S66)*24)</f>
        <v>48</v>
      </c>
      <c r="U66" s="21" t="n">
        <f aca="false">IF($A66="","",IF(N(O66)&gt;0,N(U65)+1,0))</f>
        <v>1</v>
      </c>
      <c r="V66" s="21" t="n">
        <f aca="false">IF($A66="","",IF(N(P66)&gt;0,N(V65)+1,0))</f>
        <v>0</v>
      </c>
      <c r="W66" s="21" t="str">
        <f aca="false">IF($A66="","",IF(WEEKDAY($A66,2)&lt;&gt;7,"",IF(AND(OR(Q66="",N(Q66)&gt;=$A66+16/24,N(R66)&lt;=$A66+6/24),OR(S66="",N(S66)&lt;=$A66+6/24)),1,0)))</f>
        <v/>
      </c>
      <c r="X66" s="26" t="str">
        <f aca="false">IF($A66="","",IF(INDEX(Muster!$C$8:$BF$8,1,MOD($A66-Einstellungen!$C$6,Einstellungen!$C$7)+1)="","-",INDEX(Muster!$C$8:$BF$8,1,MOD($A66-Einstellungen!$C$6,Einstellungen!$C$7)+1)))</f>
        <v>-</v>
      </c>
      <c r="Y66" s="27" t="n">
        <f aca="false">IF($A66="","",IFERROR(VLOOKUP(X66,Schichten!$A$5:$G$24,6,FALSE()),0))</f>
        <v>0</v>
      </c>
      <c r="Z66" s="27" t="n">
        <f aca="false">IF($A66="","",IFERROR(VLOOKUP(X66,Schichten!$A$5:$G$24,7,FALSE()),0))</f>
        <v>0</v>
      </c>
      <c r="AA66" s="28" t="str">
        <f aca="false">IF($A66="","",IF(N(Y66)=0,"",$A66+VLOOKUP(X66,Schichten!$A$5:$G$24,3,FALSE())))</f>
        <v/>
      </c>
      <c r="AB66" s="28" t="str">
        <f aca="false">IF(AA66="","",$A66+VLOOKUP(X66,Schichten!$A$5:$G$24,4,FALSE())+IF(VLOOKUP(X66,Schichten!$A$5:$G$24,4,FALSE())&lt;=VLOOKUP(X66,Schichten!$A$5:$G$24,3,FALSE()),1,0))</f>
        <v/>
      </c>
      <c r="AC66" s="28" t="n">
        <f aca="false">IF($A66="","",IF(N(Y65)&gt;0,AB65,AC65))</f>
        <v>46449.25</v>
      </c>
      <c r="AD66" s="27" t="str">
        <f aca="false">IF(OR(AA66="",AC66=""),"",(AA66-AC66)*24)</f>
        <v/>
      </c>
      <c r="AE66" s="21" t="n">
        <f aca="false">IF($A66="","",IF(N(Y66)&gt;0,N(AE65)+1,0))</f>
        <v>0</v>
      </c>
      <c r="AF66" s="21" t="n">
        <f aca="false">IF($A66="","",IF(N(Z66)&gt;0,N(AF65)+1,0))</f>
        <v>0</v>
      </c>
      <c r="AG66" s="21" t="str">
        <f aca="false">IF($A66="","",IF(WEEKDAY($A66,2)&lt;&gt;7,"",IF(AND(OR(AA66="",N(AA66)&gt;=$A66+16/24,N(AB66)&lt;=$A66+6/24),OR(AC66="",N(AC66)&lt;=$A66+6/24)),1,0)))</f>
        <v/>
      </c>
      <c r="AH66" s="26" t="str">
        <f aca="false">IF($A66="","",IF(INDEX(Muster!$C$9:$BF$9,1,MOD($A66-Einstellungen!$C$6,Einstellungen!$C$7)+1)="","-",INDEX(Muster!$C$9:$BF$9,1,MOD($A66-Einstellungen!$C$6,Einstellungen!$C$7)+1)))</f>
        <v>N</v>
      </c>
      <c r="AI66" s="27" t="n">
        <f aca="false">IF($A66="","",IFERROR(VLOOKUP(AH66,Schichten!$A$5:$G$24,6,FALSE()),0))</f>
        <v>8</v>
      </c>
      <c r="AJ66" s="27" t="n">
        <f aca="false">IF($A66="","",IFERROR(VLOOKUP(AH66,Schichten!$A$5:$G$24,7,FALSE()),0))</f>
        <v>7</v>
      </c>
      <c r="AK66" s="28" t="n">
        <f aca="false">IF($A66="","",IF(N(AI66)=0,"",$A66+VLOOKUP(AH66,Schichten!$A$5:$G$24,3,FALSE())))</f>
        <v>46449.9166666667</v>
      </c>
      <c r="AL66" s="28" t="n">
        <f aca="false">IF(AK66="","",$A66+VLOOKUP(AH66,Schichten!$A$5:$G$24,4,FALSE())+IF(VLOOKUP(AH66,Schichten!$A$5:$G$24,4,FALSE())&lt;=VLOOKUP(AH66,Schichten!$A$5:$G$24,3,FALSE()),1,0))</f>
        <v>46450.25</v>
      </c>
      <c r="AM66" s="28" t="n">
        <f aca="false">IF($A66="","",IF(N(AI65)&gt;0,AL65,AM65))</f>
        <v>46448.9166666667</v>
      </c>
      <c r="AN66" s="27" t="n">
        <f aca="false">IF(OR(AK66="",AM66=""),"",(AK66-AM66)*24)</f>
        <v>24</v>
      </c>
      <c r="AO66" s="21" t="n">
        <f aca="false">IF($A66="","",IF(N(AI66)&gt;0,N(AO65)+1,0))</f>
        <v>5</v>
      </c>
      <c r="AP66" s="21" t="n">
        <f aca="false">IF($A66="","",IF(N(AJ66)&gt;0,N(AP65)+1,0))</f>
        <v>1</v>
      </c>
      <c r="AQ66" s="21" t="str">
        <f aca="false">IF($A66="","",IF(WEEKDAY($A66,2)&lt;&gt;7,"",IF(AND(OR(AK66="",N(AK66)&gt;=$A66+16/24,N(AL66)&lt;=$A66+6/24),OR(AM66="",N(AM66)&lt;=$A66+6/24)),1,0)))</f>
        <v/>
      </c>
      <c r="AR66" s="26" t="str">
        <f aca="false">IF($A66="","",IF(INDEX(Muster!$C$10:$BF$10,1,MOD($A66-Einstellungen!$C$6,Einstellungen!$C$7)+1)="","-",INDEX(Muster!$C$10:$BF$10,1,MOD($A66-Einstellungen!$C$6,Einstellungen!$C$7)+1)))</f>
        <v>-</v>
      </c>
      <c r="AS66" s="27" t="n">
        <f aca="false">IF($A66="","",IFERROR(VLOOKUP(AR66,Schichten!$A$5:$G$24,6,FALSE()),0))</f>
        <v>0</v>
      </c>
      <c r="AT66" s="27" t="n">
        <f aca="false">IF($A66="","",IFERROR(VLOOKUP(AR66,Schichten!$A$5:$G$24,7,FALSE()),0))</f>
        <v>0</v>
      </c>
      <c r="AU66" s="28" t="str">
        <f aca="false">IF($A66="","",IF(N(AS66)=0,"",$A66+VLOOKUP(AR66,Schichten!$A$5:$G$24,3,FALSE())))</f>
        <v/>
      </c>
      <c r="AV66" s="28" t="str">
        <f aca="false">IF(AU66="","",$A66+VLOOKUP(AR66,Schichten!$A$5:$G$24,4,FALSE())+IF(VLOOKUP(AR66,Schichten!$A$5:$G$24,4,FALSE())&lt;=VLOOKUP(AR66,Schichten!$A$5:$G$24,3,FALSE()),1,0))</f>
        <v/>
      </c>
      <c r="AW66" s="28" t="str">
        <f aca="false">IF($A66="","",IF(N(AS65)&gt;0,AV65,AW65))</f>
        <v/>
      </c>
      <c r="AX66" s="27" t="str">
        <f aca="false">IF(OR(AU66="",AW66=""),"",(AU66-AW66)*24)</f>
        <v/>
      </c>
      <c r="AY66" s="21" t="n">
        <f aca="false">IF($A66="","",IF(N(AS66)&gt;0,N(AY65)+1,0))</f>
        <v>0</v>
      </c>
      <c r="AZ66" s="21" t="n">
        <f aca="false">IF($A66="","",IF(N(AT66)&gt;0,N(AZ65)+1,0))</f>
        <v>0</v>
      </c>
      <c r="BA66" s="21" t="str">
        <f aca="false">IF($A66="","",IF(WEEKDAY($A66,2)&lt;&gt;7,"",IF(AND(OR(AU66="",N(AU66)&gt;=$A66+16/24,N(AV66)&lt;=$A66+6/24),OR(AW66="",N(AW66)&lt;=$A66+6/24)),1,0)))</f>
        <v/>
      </c>
    </row>
    <row r="67" customFormat="false" ht="15" hidden="false" customHeight="false" outlineLevel="0" collapsed="false">
      <c r="A67" s="25" t="n">
        <f aca="false">IF(YEAR(DATE(Einstellungen!$C$4,1,1)+62)=Einstellungen!$C$4,DATE(Einstellungen!$C$4,1,1)+62,"")</f>
        <v>46450</v>
      </c>
      <c r="B67" s="26" t="str">
        <f aca="false">IF($A67="","",CHOOSE(WEEKDAY($A67,2),"Mo","Di","Mi","Do","Fr","Sa","So"))</f>
        <v>Do</v>
      </c>
      <c r="C67" s="26" t="n">
        <f aca="false">IF($A67="","",MONTH($A67))</f>
        <v>3</v>
      </c>
      <c r="D67" s="26" t="str">
        <f aca="false">IF($A67="","",IF(INDEX(Muster!$C$6:$BF$6,1,MOD($A67-Einstellungen!$C$6,Einstellungen!$C$7)+1)="","-",INDEX(Muster!$C$6:$BF$6,1,MOD($A67-Einstellungen!$C$6,Einstellungen!$C$7)+1)))</f>
        <v>S</v>
      </c>
      <c r="E67" s="27" t="n">
        <f aca="false">IF($A67="","",IFERROR(VLOOKUP(D67,Schichten!$A$5:$G$24,6,FALSE()),0))</f>
        <v>8</v>
      </c>
      <c r="F67" s="27" t="n">
        <f aca="false">IF($A67="","",IFERROR(VLOOKUP(D67,Schichten!$A$5:$G$24,7,FALSE()),0))</f>
        <v>0</v>
      </c>
      <c r="G67" s="28" t="n">
        <f aca="false">IF($A67="","",IF(N(E67)=0,"",$A67+VLOOKUP(D67,Schichten!$A$5:$G$24,3,FALSE())))</f>
        <v>46450.5833333333</v>
      </c>
      <c r="H67" s="28" t="n">
        <f aca="false">IF(G67="","",$A67+VLOOKUP(D67,Schichten!$A$5:$G$24,4,FALSE())+IF(VLOOKUP(D67,Schichten!$A$5:$G$24,4,FALSE())&lt;=VLOOKUP(D67,Schichten!$A$5:$G$24,3,FALSE()),1,0))</f>
        <v>46450.9166666667</v>
      </c>
      <c r="I67" s="28" t="n">
        <f aca="false">IF($A67="","",IF(N(E66)&gt;0,H66,I66))</f>
        <v>46449.9166666667</v>
      </c>
      <c r="J67" s="27" t="n">
        <f aca="false">IF(OR(G67="",I67=""),"",(G67-I67)*24)</f>
        <v>16</v>
      </c>
      <c r="K67" s="21" t="n">
        <f aca="false">IF($A67="","",IF(N(E67)&gt;0,N(K66)+1,0))</f>
        <v>4</v>
      </c>
      <c r="L67" s="21" t="n">
        <f aca="false">IF($A67="","",IF(N(F67)&gt;0,N(L66)+1,0))</f>
        <v>0</v>
      </c>
      <c r="M67" s="21" t="str">
        <f aca="false">IF($A67="","",IF(WEEKDAY($A67,2)&lt;&gt;7,"",IF(AND(OR(G67="",N(G67)&gt;=$A67+16/24,N(H67)&lt;=$A67+6/24),OR(I67="",N(I67)&lt;=$A67+6/24)),1,0)))</f>
        <v/>
      </c>
      <c r="N67" s="26" t="str">
        <f aca="false">IF($A67="","",IF(INDEX(Muster!$C$7:$BF$7,1,MOD($A67-Einstellungen!$C$6,Einstellungen!$C$7)+1)="","-",INDEX(Muster!$C$7:$BF$7,1,MOD($A67-Einstellungen!$C$6,Einstellungen!$C$7)+1)))</f>
        <v>F</v>
      </c>
      <c r="O67" s="27" t="n">
        <f aca="false">IF($A67="","",IFERROR(VLOOKUP(N67,Schichten!$A$5:$G$24,6,FALSE()),0))</f>
        <v>8</v>
      </c>
      <c r="P67" s="27" t="n">
        <f aca="false">IF($A67="","",IFERROR(VLOOKUP(N67,Schichten!$A$5:$G$24,7,FALSE()),0))</f>
        <v>0</v>
      </c>
      <c r="Q67" s="28" t="n">
        <f aca="false">IF($A67="","",IF(N(O67)=0,"",$A67+VLOOKUP(N67,Schichten!$A$5:$G$24,3,FALSE())))</f>
        <v>46450.25</v>
      </c>
      <c r="R67" s="28" t="n">
        <f aca="false">IF(Q67="","",$A67+VLOOKUP(N67,Schichten!$A$5:$G$24,4,FALSE())+IF(VLOOKUP(N67,Schichten!$A$5:$G$24,4,FALSE())&lt;=VLOOKUP(N67,Schichten!$A$5:$G$24,3,FALSE()),1,0))</f>
        <v>46450.5833333333</v>
      </c>
      <c r="S67" s="28" t="n">
        <f aca="false">IF($A67="","",IF(N(O66)&gt;0,R66,S66))</f>
        <v>46449.5833333333</v>
      </c>
      <c r="T67" s="27" t="n">
        <f aca="false">IF(OR(Q67="",S67=""),"",(Q67-S67)*24)</f>
        <v>16</v>
      </c>
      <c r="U67" s="21" t="n">
        <f aca="false">IF($A67="","",IF(N(O67)&gt;0,N(U66)+1,0))</f>
        <v>2</v>
      </c>
      <c r="V67" s="21" t="n">
        <f aca="false">IF($A67="","",IF(N(P67)&gt;0,N(V66)+1,0))</f>
        <v>0</v>
      </c>
      <c r="W67" s="21" t="str">
        <f aca="false">IF($A67="","",IF(WEEKDAY($A67,2)&lt;&gt;7,"",IF(AND(OR(Q67="",N(Q67)&gt;=$A67+16/24,N(R67)&lt;=$A67+6/24),OR(S67="",N(S67)&lt;=$A67+6/24)),1,0)))</f>
        <v/>
      </c>
      <c r="X67" s="26" t="str">
        <f aca="false">IF($A67="","",IF(INDEX(Muster!$C$8:$BF$8,1,MOD($A67-Einstellungen!$C$6,Einstellungen!$C$7)+1)="","-",INDEX(Muster!$C$8:$BF$8,1,MOD($A67-Einstellungen!$C$6,Einstellungen!$C$7)+1)))</f>
        <v>-</v>
      </c>
      <c r="Y67" s="27" t="n">
        <f aca="false">IF($A67="","",IFERROR(VLOOKUP(X67,Schichten!$A$5:$G$24,6,FALSE()),0))</f>
        <v>0</v>
      </c>
      <c r="Z67" s="27" t="n">
        <f aca="false">IF($A67="","",IFERROR(VLOOKUP(X67,Schichten!$A$5:$G$24,7,FALSE()),0))</f>
        <v>0</v>
      </c>
      <c r="AA67" s="28" t="str">
        <f aca="false">IF($A67="","",IF(N(Y67)=0,"",$A67+VLOOKUP(X67,Schichten!$A$5:$G$24,3,FALSE())))</f>
        <v/>
      </c>
      <c r="AB67" s="28" t="str">
        <f aca="false">IF(AA67="","",$A67+VLOOKUP(X67,Schichten!$A$5:$G$24,4,FALSE())+IF(VLOOKUP(X67,Schichten!$A$5:$G$24,4,FALSE())&lt;=VLOOKUP(X67,Schichten!$A$5:$G$24,3,FALSE()),1,0))</f>
        <v/>
      </c>
      <c r="AC67" s="28" t="n">
        <f aca="false">IF($A67="","",IF(N(Y66)&gt;0,AB66,AC66))</f>
        <v>46449.25</v>
      </c>
      <c r="AD67" s="27" t="str">
        <f aca="false">IF(OR(AA67="",AC67=""),"",(AA67-AC67)*24)</f>
        <v/>
      </c>
      <c r="AE67" s="21" t="n">
        <f aca="false">IF($A67="","",IF(N(Y67)&gt;0,N(AE66)+1,0))</f>
        <v>0</v>
      </c>
      <c r="AF67" s="21" t="n">
        <f aca="false">IF($A67="","",IF(N(Z67)&gt;0,N(AF66)+1,0))</f>
        <v>0</v>
      </c>
      <c r="AG67" s="21" t="str">
        <f aca="false">IF($A67="","",IF(WEEKDAY($A67,2)&lt;&gt;7,"",IF(AND(OR(AA67="",N(AA67)&gt;=$A67+16/24,N(AB67)&lt;=$A67+6/24),OR(AC67="",N(AC67)&lt;=$A67+6/24)),1,0)))</f>
        <v/>
      </c>
      <c r="AH67" s="26" t="str">
        <f aca="false">IF($A67="","",IF(INDEX(Muster!$C$9:$BF$9,1,MOD($A67-Einstellungen!$C$6,Einstellungen!$C$7)+1)="","-",INDEX(Muster!$C$9:$BF$9,1,MOD($A67-Einstellungen!$C$6,Einstellungen!$C$7)+1)))</f>
        <v>N</v>
      </c>
      <c r="AI67" s="27" t="n">
        <f aca="false">IF($A67="","",IFERROR(VLOOKUP(AH67,Schichten!$A$5:$G$24,6,FALSE()),0))</f>
        <v>8</v>
      </c>
      <c r="AJ67" s="27" t="n">
        <f aca="false">IF($A67="","",IFERROR(VLOOKUP(AH67,Schichten!$A$5:$G$24,7,FALSE()),0))</f>
        <v>7</v>
      </c>
      <c r="AK67" s="28" t="n">
        <f aca="false">IF($A67="","",IF(N(AI67)=0,"",$A67+VLOOKUP(AH67,Schichten!$A$5:$G$24,3,FALSE())))</f>
        <v>46450.9166666667</v>
      </c>
      <c r="AL67" s="28" t="n">
        <f aca="false">IF(AK67="","",$A67+VLOOKUP(AH67,Schichten!$A$5:$G$24,4,FALSE())+IF(VLOOKUP(AH67,Schichten!$A$5:$G$24,4,FALSE())&lt;=VLOOKUP(AH67,Schichten!$A$5:$G$24,3,FALSE()),1,0))</f>
        <v>46451.25</v>
      </c>
      <c r="AM67" s="28" t="n">
        <f aca="false">IF($A67="","",IF(N(AI66)&gt;0,AL66,AM66))</f>
        <v>46450.25</v>
      </c>
      <c r="AN67" s="27" t="n">
        <f aca="false">IF(OR(AK67="",AM67=""),"",(AK67-AM67)*24)</f>
        <v>16</v>
      </c>
      <c r="AO67" s="21" t="n">
        <f aca="false">IF($A67="","",IF(N(AI67)&gt;0,N(AO66)+1,0))</f>
        <v>6</v>
      </c>
      <c r="AP67" s="21" t="n">
        <f aca="false">IF($A67="","",IF(N(AJ67)&gt;0,N(AP66)+1,0))</f>
        <v>2</v>
      </c>
      <c r="AQ67" s="21" t="str">
        <f aca="false">IF($A67="","",IF(WEEKDAY($A67,2)&lt;&gt;7,"",IF(AND(OR(AK67="",N(AK67)&gt;=$A67+16/24,N(AL67)&lt;=$A67+6/24),OR(AM67="",N(AM67)&lt;=$A67+6/24)),1,0)))</f>
        <v/>
      </c>
      <c r="AR67" s="26" t="str">
        <f aca="false">IF($A67="","",IF(INDEX(Muster!$C$10:$BF$10,1,MOD($A67-Einstellungen!$C$6,Einstellungen!$C$7)+1)="","-",INDEX(Muster!$C$10:$BF$10,1,MOD($A67-Einstellungen!$C$6,Einstellungen!$C$7)+1)))</f>
        <v>-</v>
      </c>
      <c r="AS67" s="27" t="n">
        <f aca="false">IF($A67="","",IFERROR(VLOOKUP(AR67,Schichten!$A$5:$G$24,6,FALSE()),0))</f>
        <v>0</v>
      </c>
      <c r="AT67" s="27" t="n">
        <f aca="false">IF($A67="","",IFERROR(VLOOKUP(AR67,Schichten!$A$5:$G$24,7,FALSE()),0))</f>
        <v>0</v>
      </c>
      <c r="AU67" s="28" t="str">
        <f aca="false">IF($A67="","",IF(N(AS67)=0,"",$A67+VLOOKUP(AR67,Schichten!$A$5:$G$24,3,FALSE())))</f>
        <v/>
      </c>
      <c r="AV67" s="28" t="str">
        <f aca="false">IF(AU67="","",$A67+VLOOKUP(AR67,Schichten!$A$5:$G$24,4,FALSE())+IF(VLOOKUP(AR67,Schichten!$A$5:$G$24,4,FALSE())&lt;=VLOOKUP(AR67,Schichten!$A$5:$G$24,3,FALSE()),1,0))</f>
        <v/>
      </c>
      <c r="AW67" s="28" t="str">
        <f aca="false">IF($A67="","",IF(N(AS66)&gt;0,AV66,AW66))</f>
        <v/>
      </c>
      <c r="AX67" s="27" t="str">
        <f aca="false">IF(OR(AU67="",AW67=""),"",(AU67-AW67)*24)</f>
        <v/>
      </c>
      <c r="AY67" s="21" t="n">
        <f aca="false">IF($A67="","",IF(N(AS67)&gt;0,N(AY66)+1,0))</f>
        <v>0</v>
      </c>
      <c r="AZ67" s="21" t="n">
        <f aca="false">IF($A67="","",IF(N(AT67)&gt;0,N(AZ66)+1,0))</f>
        <v>0</v>
      </c>
      <c r="BA67" s="21" t="str">
        <f aca="false">IF($A67="","",IF(WEEKDAY($A67,2)&lt;&gt;7,"",IF(AND(OR(AU67="",N(AU67)&gt;=$A67+16/24,N(AV67)&lt;=$A67+6/24),OR(AW67="",N(AW67)&lt;=$A67+6/24)),1,0)))</f>
        <v/>
      </c>
    </row>
    <row r="68" customFormat="false" ht="15" hidden="false" customHeight="false" outlineLevel="0" collapsed="false">
      <c r="A68" s="25" t="n">
        <f aca="false">IF(YEAR(DATE(Einstellungen!$C$4,1,1)+63)=Einstellungen!$C$4,DATE(Einstellungen!$C$4,1,1)+63,"")</f>
        <v>46451</v>
      </c>
      <c r="B68" s="26" t="str">
        <f aca="false">IF($A68="","",CHOOSE(WEEKDAY($A68,2),"Mo","Di","Mi","Do","Fr","Sa","So"))</f>
        <v>Fr</v>
      </c>
      <c r="C68" s="26" t="n">
        <f aca="false">IF($A68="","",MONTH($A68))</f>
        <v>3</v>
      </c>
      <c r="D68" s="26" t="str">
        <f aca="false">IF($A68="","",IF(INDEX(Muster!$C$6:$BF$6,1,MOD($A68-Einstellungen!$C$6,Einstellungen!$C$7)+1)="","-",INDEX(Muster!$C$6:$BF$6,1,MOD($A68-Einstellungen!$C$6,Einstellungen!$C$7)+1)))</f>
        <v>N</v>
      </c>
      <c r="E68" s="27" t="n">
        <f aca="false">IF($A68="","",IFERROR(VLOOKUP(D68,Schichten!$A$5:$G$24,6,FALSE()),0))</f>
        <v>8</v>
      </c>
      <c r="F68" s="27" t="n">
        <f aca="false">IF($A68="","",IFERROR(VLOOKUP(D68,Schichten!$A$5:$G$24,7,FALSE()),0))</f>
        <v>7</v>
      </c>
      <c r="G68" s="28" t="n">
        <f aca="false">IF($A68="","",IF(N(E68)=0,"",$A68+VLOOKUP(D68,Schichten!$A$5:$G$24,3,FALSE())))</f>
        <v>46451.9166666667</v>
      </c>
      <c r="H68" s="28" t="n">
        <f aca="false">IF(G68="","",$A68+VLOOKUP(D68,Schichten!$A$5:$G$24,4,FALSE())+IF(VLOOKUP(D68,Schichten!$A$5:$G$24,4,FALSE())&lt;=VLOOKUP(D68,Schichten!$A$5:$G$24,3,FALSE()),1,0))</f>
        <v>46452.25</v>
      </c>
      <c r="I68" s="28" t="n">
        <f aca="false">IF($A68="","",IF(N(E67)&gt;0,H67,I67))</f>
        <v>46450.9166666667</v>
      </c>
      <c r="J68" s="27" t="n">
        <f aca="false">IF(OR(G68="",I68=""),"",(G68-I68)*24)</f>
        <v>24</v>
      </c>
      <c r="K68" s="21" t="n">
        <f aca="false">IF($A68="","",IF(N(E68)&gt;0,N(K67)+1,0))</f>
        <v>5</v>
      </c>
      <c r="L68" s="21" t="n">
        <f aca="false">IF($A68="","",IF(N(F68)&gt;0,N(L67)+1,0))</f>
        <v>1</v>
      </c>
      <c r="M68" s="21" t="str">
        <f aca="false">IF($A68="","",IF(WEEKDAY($A68,2)&lt;&gt;7,"",IF(AND(OR(G68="",N(G68)&gt;=$A68+16/24,N(H68)&lt;=$A68+6/24),OR(I68="",N(I68)&lt;=$A68+6/24)),1,0)))</f>
        <v/>
      </c>
      <c r="N68" s="26" t="str">
        <f aca="false">IF($A68="","",IF(INDEX(Muster!$C$7:$BF$7,1,MOD($A68-Einstellungen!$C$6,Einstellungen!$C$7)+1)="","-",INDEX(Muster!$C$7:$BF$7,1,MOD($A68-Einstellungen!$C$6,Einstellungen!$C$7)+1)))</f>
        <v>S</v>
      </c>
      <c r="O68" s="27" t="n">
        <f aca="false">IF($A68="","",IFERROR(VLOOKUP(N68,Schichten!$A$5:$G$24,6,FALSE()),0))</f>
        <v>8</v>
      </c>
      <c r="P68" s="27" t="n">
        <f aca="false">IF($A68="","",IFERROR(VLOOKUP(N68,Schichten!$A$5:$G$24,7,FALSE()),0))</f>
        <v>0</v>
      </c>
      <c r="Q68" s="28" t="n">
        <f aca="false">IF($A68="","",IF(N(O68)=0,"",$A68+VLOOKUP(N68,Schichten!$A$5:$G$24,3,FALSE())))</f>
        <v>46451.5833333333</v>
      </c>
      <c r="R68" s="28" t="n">
        <f aca="false">IF(Q68="","",$A68+VLOOKUP(N68,Schichten!$A$5:$G$24,4,FALSE())+IF(VLOOKUP(N68,Schichten!$A$5:$G$24,4,FALSE())&lt;=VLOOKUP(N68,Schichten!$A$5:$G$24,3,FALSE()),1,0))</f>
        <v>46451.9166666667</v>
      </c>
      <c r="S68" s="28" t="n">
        <f aca="false">IF($A68="","",IF(N(O67)&gt;0,R67,S67))</f>
        <v>46450.5833333333</v>
      </c>
      <c r="T68" s="27" t="n">
        <f aca="false">IF(OR(Q68="",S68=""),"",(Q68-S68)*24)</f>
        <v>24</v>
      </c>
      <c r="U68" s="21" t="n">
        <f aca="false">IF($A68="","",IF(N(O68)&gt;0,N(U67)+1,0))</f>
        <v>3</v>
      </c>
      <c r="V68" s="21" t="n">
        <f aca="false">IF($A68="","",IF(N(P68)&gt;0,N(V67)+1,0))</f>
        <v>0</v>
      </c>
      <c r="W68" s="21" t="str">
        <f aca="false">IF($A68="","",IF(WEEKDAY($A68,2)&lt;&gt;7,"",IF(AND(OR(Q68="",N(Q68)&gt;=$A68+16/24,N(R68)&lt;=$A68+6/24),OR(S68="",N(S68)&lt;=$A68+6/24)),1,0)))</f>
        <v/>
      </c>
      <c r="X68" s="26" t="str">
        <f aca="false">IF($A68="","",IF(INDEX(Muster!$C$8:$BF$8,1,MOD($A68-Einstellungen!$C$6,Einstellungen!$C$7)+1)="","-",INDEX(Muster!$C$8:$BF$8,1,MOD($A68-Einstellungen!$C$6,Einstellungen!$C$7)+1)))</f>
        <v>F</v>
      </c>
      <c r="Y68" s="27" t="n">
        <f aca="false">IF($A68="","",IFERROR(VLOOKUP(X68,Schichten!$A$5:$G$24,6,FALSE()),0))</f>
        <v>8</v>
      </c>
      <c r="Z68" s="27" t="n">
        <f aca="false">IF($A68="","",IFERROR(VLOOKUP(X68,Schichten!$A$5:$G$24,7,FALSE()),0))</f>
        <v>0</v>
      </c>
      <c r="AA68" s="28" t="n">
        <f aca="false">IF($A68="","",IF(N(Y68)=0,"",$A68+VLOOKUP(X68,Schichten!$A$5:$G$24,3,FALSE())))</f>
        <v>46451.25</v>
      </c>
      <c r="AB68" s="28" t="n">
        <f aca="false">IF(AA68="","",$A68+VLOOKUP(X68,Schichten!$A$5:$G$24,4,FALSE())+IF(VLOOKUP(X68,Schichten!$A$5:$G$24,4,FALSE())&lt;=VLOOKUP(X68,Schichten!$A$5:$G$24,3,FALSE()),1,0))</f>
        <v>46451.5833333333</v>
      </c>
      <c r="AC68" s="28" t="n">
        <f aca="false">IF($A68="","",IF(N(Y67)&gt;0,AB67,AC67))</f>
        <v>46449.25</v>
      </c>
      <c r="AD68" s="27" t="n">
        <f aca="false">IF(OR(AA68="",AC68=""),"",(AA68-AC68)*24)</f>
        <v>48</v>
      </c>
      <c r="AE68" s="21" t="n">
        <f aca="false">IF($A68="","",IF(N(Y68)&gt;0,N(AE67)+1,0))</f>
        <v>1</v>
      </c>
      <c r="AF68" s="21" t="n">
        <f aca="false">IF($A68="","",IF(N(Z68)&gt;0,N(AF67)+1,0))</f>
        <v>0</v>
      </c>
      <c r="AG68" s="21" t="str">
        <f aca="false">IF($A68="","",IF(WEEKDAY($A68,2)&lt;&gt;7,"",IF(AND(OR(AA68="",N(AA68)&gt;=$A68+16/24,N(AB68)&lt;=$A68+6/24),OR(AC68="",N(AC68)&lt;=$A68+6/24)),1,0)))</f>
        <v/>
      </c>
      <c r="AH68" s="26" t="str">
        <f aca="false">IF($A68="","",IF(INDEX(Muster!$C$9:$BF$9,1,MOD($A68-Einstellungen!$C$6,Einstellungen!$C$7)+1)="","-",INDEX(Muster!$C$9:$BF$9,1,MOD($A68-Einstellungen!$C$6,Einstellungen!$C$7)+1)))</f>
        <v>-</v>
      </c>
      <c r="AI68" s="27" t="n">
        <f aca="false">IF($A68="","",IFERROR(VLOOKUP(AH68,Schichten!$A$5:$G$24,6,FALSE()),0))</f>
        <v>0</v>
      </c>
      <c r="AJ68" s="27" t="n">
        <f aca="false">IF($A68="","",IFERROR(VLOOKUP(AH68,Schichten!$A$5:$G$24,7,FALSE()),0))</f>
        <v>0</v>
      </c>
      <c r="AK68" s="28" t="str">
        <f aca="false">IF($A68="","",IF(N(AI68)=0,"",$A68+VLOOKUP(AH68,Schichten!$A$5:$G$24,3,FALSE())))</f>
        <v/>
      </c>
      <c r="AL68" s="28" t="str">
        <f aca="false">IF(AK68="","",$A68+VLOOKUP(AH68,Schichten!$A$5:$G$24,4,FALSE())+IF(VLOOKUP(AH68,Schichten!$A$5:$G$24,4,FALSE())&lt;=VLOOKUP(AH68,Schichten!$A$5:$G$24,3,FALSE()),1,0))</f>
        <v/>
      </c>
      <c r="AM68" s="28" t="n">
        <f aca="false">IF($A68="","",IF(N(AI67)&gt;0,AL67,AM67))</f>
        <v>46451.25</v>
      </c>
      <c r="AN68" s="27" t="str">
        <f aca="false">IF(OR(AK68="",AM68=""),"",(AK68-AM68)*24)</f>
        <v/>
      </c>
      <c r="AO68" s="21" t="n">
        <f aca="false">IF($A68="","",IF(N(AI68)&gt;0,N(AO67)+1,0))</f>
        <v>0</v>
      </c>
      <c r="AP68" s="21" t="n">
        <f aca="false">IF($A68="","",IF(N(AJ68)&gt;0,N(AP67)+1,0))</f>
        <v>0</v>
      </c>
      <c r="AQ68" s="21" t="str">
        <f aca="false">IF($A68="","",IF(WEEKDAY($A68,2)&lt;&gt;7,"",IF(AND(OR(AK68="",N(AK68)&gt;=$A68+16/24,N(AL68)&lt;=$A68+6/24),OR(AM68="",N(AM68)&lt;=$A68+6/24)),1,0)))</f>
        <v/>
      </c>
      <c r="AR68" s="26" t="str">
        <f aca="false">IF($A68="","",IF(INDEX(Muster!$C$10:$BF$10,1,MOD($A68-Einstellungen!$C$6,Einstellungen!$C$7)+1)="","-",INDEX(Muster!$C$10:$BF$10,1,MOD($A68-Einstellungen!$C$6,Einstellungen!$C$7)+1)))</f>
        <v>-</v>
      </c>
      <c r="AS68" s="27" t="n">
        <f aca="false">IF($A68="","",IFERROR(VLOOKUP(AR68,Schichten!$A$5:$G$24,6,FALSE()),0))</f>
        <v>0</v>
      </c>
      <c r="AT68" s="27" t="n">
        <f aca="false">IF($A68="","",IFERROR(VLOOKUP(AR68,Schichten!$A$5:$G$24,7,FALSE()),0))</f>
        <v>0</v>
      </c>
      <c r="AU68" s="28" t="str">
        <f aca="false">IF($A68="","",IF(N(AS68)=0,"",$A68+VLOOKUP(AR68,Schichten!$A$5:$G$24,3,FALSE())))</f>
        <v/>
      </c>
      <c r="AV68" s="28" t="str">
        <f aca="false">IF(AU68="","",$A68+VLOOKUP(AR68,Schichten!$A$5:$G$24,4,FALSE())+IF(VLOOKUP(AR68,Schichten!$A$5:$G$24,4,FALSE())&lt;=VLOOKUP(AR68,Schichten!$A$5:$G$24,3,FALSE()),1,0))</f>
        <v/>
      </c>
      <c r="AW68" s="28" t="str">
        <f aca="false">IF($A68="","",IF(N(AS67)&gt;0,AV67,AW67))</f>
        <v/>
      </c>
      <c r="AX68" s="27" t="str">
        <f aca="false">IF(OR(AU68="",AW68=""),"",(AU68-AW68)*24)</f>
        <v/>
      </c>
      <c r="AY68" s="21" t="n">
        <f aca="false">IF($A68="","",IF(N(AS68)&gt;0,N(AY67)+1,0))</f>
        <v>0</v>
      </c>
      <c r="AZ68" s="21" t="n">
        <f aca="false">IF($A68="","",IF(N(AT68)&gt;0,N(AZ67)+1,0))</f>
        <v>0</v>
      </c>
      <c r="BA68" s="21" t="str">
        <f aca="false">IF($A68="","",IF(WEEKDAY($A68,2)&lt;&gt;7,"",IF(AND(OR(AU68="",N(AU68)&gt;=$A68+16/24,N(AV68)&lt;=$A68+6/24),OR(AW68="",N(AW68)&lt;=$A68+6/24)),1,0)))</f>
        <v/>
      </c>
    </row>
    <row r="69" customFormat="false" ht="15" hidden="false" customHeight="false" outlineLevel="0" collapsed="false">
      <c r="A69" s="25" t="n">
        <f aca="false">IF(YEAR(DATE(Einstellungen!$C$4,1,1)+64)=Einstellungen!$C$4,DATE(Einstellungen!$C$4,1,1)+64,"")</f>
        <v>46452</v>
      </c>
      <c r="B69" s="26" t="str">
        <f aca="false">IF($A69="","",CHOOSE(WEEKDAY($A69,2),"Mo","Di","Mi","Do","Fr","Sa","So"))</f>
        <v>Sa</v>
      </c>
      <c r="C69" s="26" t="n">
        <f aca="false">IF($A69="","",MONTH($A69))</f>
        <v>3</v>
      </c>
      <c r="D69" s="26" t="str">
        <f aca="false">IF($A69="","",IF(INDEX(Muster!$C$6:$BF$6,1,MOD($A69-Einstellungen!$C$6,Einstellungen!$C$7)+1)="","-",INDEX(Muster!$C$6:$BF$6,1,MOD($A69-Einstellungen!$C$6,Einstellungen!$C$7)+1)))</f>
        <v>N</v>
      </c>
      <c r="E69" s="27" t="n">
        <f aca="false">IF($A69="","",IFERROR(VLOOKUP(D69,Schichten!$A$5:$G$24,6,FALSE()),0))</f>
        <v>8</v>
      </c>
      <c r="F69" s="27" t="n">
        <f aca="false">IF($A69="","",IFERROR(VLOOKUP(D69,Schichten!$A$5:$G$24,7,FALSE()),0))</f>
        <v>7</v>
      </c>
      <c r="G69" s="28" t="n">
        <f aca="false">IF($A69="","",IF(N(E69)=0,"",$A69+VLOOKUP(D69,Schichten!$A$5:$G$24,3,FALSE())))</f>
        <v>46452.9166666667</v>
      </c>
      <c r="H69" s="28" t="n">
        <f aca="false">IF(G69="","",$A69+VLOOKUP(D69,Schichten!$A$5:$G$24,4,FALSE())+IF(VLOOKUP(D69,Schichten!$A$5:$G$24,4,FALSE())&lt;=VLOOKUP(D69,Schichten!$A$5:$G$24,3,FALSE()),1,0))</f>
        <v>46453.25</v>
      </c>
      <c r="I69" s="28" t="n">
        <f aca="false">IF($A69="","",IF(N(E68)&gt;0,H68,I68))</f>
        <v>46452.25</v>
      </c>
      <c r="J69" s="27" t="n">
        <f aca="false">IF(OR(G69="",I69=""),"",(G69-I69)*24)</f>
        <v>16</v>
      </c>
      <c r="K69" s="21" t="n">
        <f aca="false">IF($A69="","",IF(N(E69)&gt;0,N(K68)+1,0))</f>
        <v>6</v>
      </c>
      <c r="L69" s="21" t="n">
        <f aca="false">IF($A69="","",IF(N(F69)&gt;0,N(L68)+1,0))</f>
        <v>2</v>
      </c>
      <c r="M69" s="21" t="str">
        <f aca="false">IF($A69="","",IF(WEEKDAY($A69,2)&lt;&gt;7,"",IF(AND(OR(G69="",N(G69)&gt;=$A69+16/24,N(H69)&lt;=$A69+6/24),OR(I69="",N(I69)&lt;=$A69+6/24)),1,0)))</f>
        <v/>
      </c>
      <c r="N69" s="26" t="str">
        <f aca="false">IF($A69="","",IF(INDEX(Muster!$C$7:$BF$7,1,MOD($A69-Einstellungen!$C$6,Einstellungen!$C$7)+1)="","-",INDEX(Muster!$C$7:$BF$7,1,MOD($A69-Einstellungen!$C$6,Einstellungen!$C$7)+1)))</f>
        <v>S</v>
      </c>
      <c r="O69" s="27" t="n">
        <f aca="false">IF($A69="","",IFERROR(VLOOKUP(N69,Schichten!$A$5:$G$24,6,FALSE()),0))</f>
        <v>8</v>
      </c>
      <c r="P69" s="27" t="n">
        <f aca="false">IF($A69="","",IFERROR(VLOOKUP(N69,Schichten!$A$5:$G$24,7,FALSE()),0))</f>
        <v>0</v>
      </c>
      <c r="Q69" s="28" t="n">
        <f aca="false">IF($A69="","",IF(N(O69)=0,"",$A69+VLOOKUP(N69,Schichten!$A$5:$G$24,3,FALSE())))</f>
        <v>46452.5833333333</v>
      </c>
      <c r="R69" s="28" t="n">
        <f aca="false">IF(Q69="","",$A69+VLOOKUP(N69,Schichten!$A$5:$G$24,4,FALSE())+IF(VLOOKUP(N69,Schichten!$A$5:$G$24,4,FALSE())&lt;=VLOOKUP(N69,Schichten!$A$5:$G$24,3,FALSE()),1,0))</f>
        <v>46452.9166666667</v>
      </c>
      <c r="S69" s="28" t="n">
        <f aca="false">IF($A69="","",IF(N(O68)&gt;0,R68,S68))</f>
        <v>46451.9166666667</v>
      </c>
      <c r="T69" s="27" t="n">
        <f aca="false">IF(OR(Q69="",S69=""),"",(Q69-S69)*24)</f>
        <v>16</v>
      </c>
      <c r="U69" s="21" t="n">
        <f aca="false">IF($A69="","",IF(N(O69)&gt;0,N(U68)+1,0))</f>
        <v>4</v>
      </c>
      <c r="V69" s="21" t="n">
        <f aca="false">IF($A69="","",IF(N(P69)&gt;0,N(V68)+1,0))</f>
        <v>0</v>
      </c>
      <c r="W69" s="21" t="str">
        <f aca="false">IF($A69="","",IF(WEEKDAY($A69,2)&lt;&gt;7,"",IF(AND(OR(Q69="",N(Q69)&gt;=$A69+16/24,N(R69)&lt;=$A69+6/24),OR(S69="",N(S69)&lt;=$A69+6/24)),1,0)))</f>
        <v/>
      </c>
      <c r="X69" s="26" t="str">
        <f aca="false">IF($A69="","",IF(INDEX(Muster!$C$8:$BF$8,1,MOD($A69-Einstellungen!$C$6,Einstellungen!$C$7)+1)="","-",INDEX(Muster!$C$8:$BF$8,1,MOD($A69-Einstellungen!$C$6,Einstellungen!$C$7)+1)))</f>
        <v>F</v>
      </c>
      <c r="Y69" s="27" t="n">
        <f aca="false">IF($A69="","",IFERROR(VLOOKUP(X69,Schichten!$A$5:$G$24,6,FALSE()),0))</f>
        <v>8</v>
      </c>
      <c r="Z69" s="27" t="n">
        <f aca="false">IF($A69="","",IFERROR(VLOOKUP(X69,Schichten!$A$5:$G$24,7,FALSE()),0))</f>
        <v>0</v>
      </c>
      <c r="AA69" s="28" t="n">
        <f aca="false">IF($A69="","",IF(N(Y69)=0,"",$A69+VLOOKUP(X69,Schichten!$A$5:$G$24,3,FALSE())))</f>
        <v>46452.25</v>
      </c>
      <c r="AB69" s="28" t="n">
        <f aca="false">IF(AA69="","",$A69+VLOOKUP(X69,Schichten!$A$5:$G$24,4,FALSE())+IF(VLOOKUP(X69,Schichten!$A$5:$G$24,4,FALSE())&lt;=VLOOKUP(X69,Schichten!$A$5:$G$24,3,FALSE()),1,0))</f>
        <v>46452.5833333333</v>
      </c>
      <c r="AC69" s="28" t="n">
        <f aca="false">IF($A69="","",IF(N(Y68)&gt;0,AB68,AC68))</f>
        <v>46451.5833333333</v>
      </c>
      <c r="AD69" s="27" t="n">
        <f aca="false">IF(OR(AA69="",AC69=""),"",(AA69-AC69)*24)</f>
        <v>16</v>
      </c>
      <c r="AE69" s="21" t="n">
        <f aca="false">IF($A69="","",IF(N(Y69)&gt;0,N(AE68)+1,0))</f>
        <v>2</v>
      </c>
      <c r="AF69" s="21" t="n">
        <f aca="false">IF($A69="","",IF(N(Z69)&gt;0,N(AF68)+1,0))</f>
        <v>0</v>
      </c>
      <c r="AG69" s="21" t="str">
        <f aca="false">IF($A69="","",IF(WEEKDAY($A69,2)&lt;&gt;7,"",IF(AND(OR(AA69="",N(AA69)&gt;=$A69+16/24,N(AB69)&lt;=$A69+6/24),OR(AC69="",N(AC69)&lt;=$A69+6/24)),1,0)))</f>
        <v/>
      </c>
      <c r="AH69" s="26" t="str">
        <f aca="false">IF($A69="","",IF(INDEX(Muster!$C$9:$BF$9,1,MOD($A69-Einstellungen!$C$6,Einstellungen!$C$7)+1)="","-",INDEX(Muster!$C$9:$BF$9,1,MOD($A69-Einstellungen!$C$6,Einstellungen!$C$7)+1)))</f>
        <v>-</v>
      </c>
      <c r="AI69" s="27" t="n">
        <f aca="false">IF($A69="","",IFERROR(VLOOKUP(AH69,Schichten!$A$5:$G$24,6,FALSE()),0))</f>
        <v>0</v>
      </c>
      <c r="AJ69" s="27" t="n">
        <f aca="false">IF($A69="","",IFERROR(VLOOKUP(AH69,Schichten!$A$5:$G$24,7,FALSE()),0))</f>
        <v>0</v>
      </c>
      <c r="AK69" s="28" t="str">
        <f aca="false">IF($A69="","",IF(N(AI69)=0,"",$A69+VLOOKUP(AH69,Schichten!$A$5:$G$24,3,FALSE())))</f>
        <v/>
      </c>
      <c r="AL69" s="28" t="str">
        <f aca="false">IF(AK69="","",$A69+VLOOKUP(AH69,Schichten!$A$5:$G$24,4,FALSE())+IF(VLOOKUP(AH69,Schichten!$A$5:$G$24,4,FALSE())&lt;=VLOOKUP(AH69,Schichten!$A$5:$G$24,3,FALSE()),1,0))</f>
        <v/>
      </c>
      <c r="AM69" s="28" t="n">
        <f aca="false">IF($A69="","",IF(N(AI68)&gt;0,AL68,AM68))</f>
        <v>46451.25</v>
      </c>
      <c r="AN69" s="27" t="str">
        <f aca="false">IF(OR(AK69="",AM69=""),"",(AK69-AM69)*24)</f>
        <v/>
      </c>
      <c r="AO69" s="21" t="n">
        <f aca="false">IF($A69="","",IF(N(AI69)&gt;0,N(AO68)+1,0))</f>
        <v>0</v>
      </c>
      <c r="AP69" s="21" t="n">
        <f aca="false">IF($A69="","",IF(N(AJ69)&gt;0,N(AP68)+1,0))</f>
        <v>0</v>
      </c>
      <c r="AQ69" s="21" t="str">
        <f aca="false">IF($A69="","",IF(WEEKDAY($A69,2)&lt;&gt;7,"",IF(AND(OR(AK69="",N(AK69)&gt;=$A69+16/24,N(AL69)&lt;=$A69+6/24),OR(AM69="",N(AM69)&lt;=$A69+6/24)),1,0)))</f>
        <v/>
      </c>
      <c r="AR69" s="26" t="str">
        <f aca="false">IF($A69="","",IF(INDEX(Muster!$C$10:$BF$10,1,MOD($A69-Einstellungen!$C$6,Einstellungen!$C$7)+1)="","-",INDEX(Muster!$C$10:$BF$10,1,MOD($A69-Einstellungen!$C$6,Einstellungen!$C$7)+1)))</f>
        <v>-</v>
      </c>
      <c r="AS69" s="27" t="n">
        <f aca="false">IF($A69="","",IFERROR(VLOOKUP(AR69,Schichten!$A$5:$G$24,6,FALSE()),0))</f>
        <v>0</v>
      </c>
      <c r="AT69" s="27" t="n">
        <f aca="false">IF($A69="","",IFERROR(VLOOKUP(AR69,Schichten!$A$5:$G$24,7,FALSE()),0))</f>
        <v>0</v>
      </c>
      <c r="AU69" s="28" t="str">
        <f aca="false">IF($A69="","",IF(N(AS69)=0,"",$A69+VLOOKUP(AR69,Schichten!$A$5:$G$24,3,FALSE())))</f>
        <v/>
      </c>
      <c r="AV69" s="28" t="str">
        <f aca="false">IF(AU69="","",$A69+VLOOKUP(AR69,Schichten!$A$5:$G$24,4,FALSE())+IF(VLOOKUP(AR69,Schichten!$A$5:$G$24,4,FALSE())&lt;=VLOOKUP(AR69,Schichten!$A$5:$G$24,3,FALSE()),1,0))</f>
        <v/>
      </c>
      <c r="AW69" s="28" t="str">
        <f aca="false">IF($A69="","",IF(N(AS68)&gt;0,AV68,AW68))</f>
        <v/>
      </c>
      <c r="AX69" s="27" t="str">
        <f aca="false">IF(OR(AU69="",AW69=""),"",(AU69-AW69)*24)</f>
        <v/>
      </c>
      <c r="AY69" s="21" t="n">
        <f aca="false">IF($A69="","",IF(N(AS69)&gt;0,N(AY68)+1,0))</f>
        <v>0</v>
      </c>
      <c r="AZ69" s="21" t="n">
        <f aca="false">IF($A69="","",IF(N(AT69)&gt;0,N(AZ68)+1,0))</f>
        <v>0</v>
      </c>
      <c r="BA69" s="21" t="str">
        <f aca="false">IF($A69="","",IF(WEEKDAY($A69,2)&lt;&gt;7,"",IF(AND(OR(AU69="",N(AU69)&gt;=$A69+16/24,N(AV69)&lt;=$A69+6/24),OR(AW69="",N(AW69)&lt;=$A69+6/24)),1,0)))</f>
        <v/>
      </c>
    </row>
    <row r="70" customFormat="false" ht="15" hidden="false" customHeight="false" outlineLevel="0" collapsed="false">
      <c r="A70" s="25" t="n">
        <f aca="false">IF(YEAR(DATE(Einstellungen!$C$4,1,1)+65)=Einstellungen!$C$4,DATE(Einstellungen!$C$4,1,1)+65,"")</f>
        <v>46453</v>
      </c>
      <c r="B70" s="26" t="str">
        <f aca="false">IF($A70="","",CHOOSE(WEEKDAY($A70,2),"Mo","Di","Mi","Do","Fr","Sa","So"))</f>
        <v>So</v>
      </c>
      <c r="C70" s="26" t="n">
        <f aca="false">IF($A70="","",MONTH($A70))</f>
        <v>3</v>
      </c>
      <c r="D70" s="26" t="str">
        <f aca="false">IF($A70="","",IF(INDEX(Muster!$C$6:$BF$6,1,MOD($A70-Einstellungen!$C$6,Einstellungen!$C$7)+1)="","-",INDEX(Muster!$C$6:$BF$6,1,MOD($A70-Einstellungen!$C$6,Einstellungen!$C$7)+1)))</f>
        <v>-</v>
      </c>
      <c r="E70" s="27" t="n">
        <f aca="false">IF($A70="","",IFERROR(VLOOKUP(D70,Schichten!$A$5:$G$24,6,FALSE()),0))</f>
        <v>0</v>
      </c>
      <c r="F70" s="27" t="n">
        <f aca="false">IF($A70="","",IFERROR(VLOOKUP(D70,Schichten!$A$5:$G$24,7,FALSE()),0))</f>
        <v>0</v>
      </c>
      <c r="G70" s="28" t="str">
        <f aca="false">IF($A70="","",IF(N(E70)=0,"",$A70+VLOOKUP(D70,Schichten!$A$5:$G$24,3,FALSE())))</f>
        <v/>
      </c>
      <c r="H70" s="28" t="str">
        <f aca="false">IF(G70="","",$A70+VLOOKUP(D70,Schichten!$A$5:$G$24,4,FALSE())+IF(VLOOKUP(D70,Schichten!$A$5:$G$24,4,FALSE())&lt;=VLOOKUP(D70,Schichten!$A$5:$G$24,3,FALSE()),1,0))</f>
        <v/>
      </c>
      <c r="I70" s="28" t="n">
        <f aca="false">IF($A70="","",IF(N(E69)&gt;0,H69,I69))</f>
        <v>46453.25</v>
      </c>
      <c r="J70" s="27" t="str">
        <f aca="false">IF(OR(G70="",I70=""),"",(G70-I70)*24)</f>
        <v/>
      </c>
      <c r="K70" s="21" t="n">
        <f aca="false">IF($A70="","",IF(N(E70)&gt;0,N(K69)+1,0))</f>
        <v>0</v>
      </c>
      <c r="L70" s="21" t="n">
        <f aca="false">IF($A70="","",IF(N(F70)&gt;0,N(L69)+1,0))</f>
        <v>0</v>
      </c>
      <c r="M70" s="21" t="n">
        <f aca="false">IF($A70="","",IF(WEEKDAY($A70,2)&lt;&gt;7,"",IF(AND(OR(G70="",N(G70)&gt;=$A70+16/24,N(H70)&lt;=$A70+6/24),OR(I70="",N(I70)&lt;=$A70+6/24)),1,0)))</f>
        <v>1</v>
      </c>
      <c r="N70" s="26" t="str">
        <f aca="false">IF($A70="","",IF(INDEX(Muster!$C$7:$BF$7,1,MOD($A70-Einstellungen!$C$6,Einstellungen!$C$7)+1)="","-",INDEX(Muster!$C$7:$BF$7,1,MOD($A70-Einstellungen!$C$6,Einstellungen!$C$7)+1)))</f>
        <v>N</v>
      </c>
      <c r="O70" s="27" t="n">
        <f aca="false">IF($A70="","",IFERROR(VLOOKUP(N70,Schichten!$A$5:$G$24,6,FALSE()),0))</f>
        <v>8</v>
      </c>
      <c r="P70" s="27" t="n">
        <f aca="false">IF($A70="","",IFERROR(VLOOKUP(N70,Schichten!$A$5:$G$24,7,FALSE()),0))</f>
        <v>7</v>
      </c>
      <c r="Q70" s="28" t="n">
        <f aca="false">IF($A70="","",IF(N(O70)=0,"",$A70+VLOOKUP(N70,Schichten!$A$5:$G$24,3,FALSE())))</f>
        <v>46453.9166666667</v>
      </c>
      <c r="R70" s="28" t="n">
        <f aca="false">IF(Q70="","",$A70+VLOOKUP(N70,Schichten!$A$5:$G$24,4,FALSE())+IF(VLOOKUP(N70,Schichten!$A$5:$G$24,4,FALSE())&lt;=VLOOKUP(N70,Schichten!$A$5:$G$24,3,FALSE()),1,0))</f>
        <v>46454.25</v>
      </c>
      <c r="S70" s="28" t="n">
        <f aca="false">IF($A70="","",IF(N(O69)&gt;0,R69,S69))</f>
        <v>46452.9166666667</v>
      </c>
      <c r="T70" s="27" t="n">
        <f aca="false">IF(OR(Q70="",S70=""),"",(Q70-S70)*24)</f>
        <v>24</v>
      </c>
      <c r="U70" s="21" t="n">
        <f aca="false">IF($A70="","",IF(N(O70)&gt;0,N(U69)+1,0))</f>
        <v>5</v>
      </c>
      <c r="V70" s="21" t="n">
        <f aca="false">IF($A70="","",IF(N(P70)&gt;0,N(V69)+1,0))</f>
        <v>1</v>
      </c>
      <c r="W70" s="21" t="n">
        <f aca="false">IF($A70="","",IF(WEEKDAY($A70,2)&lt;&gt;7,"",IF(AND(OR(Q70="",N(Q70)&gt;=$A70+16/24,N(R70)&lt;=$A70+6/24),OR(S70="",N(S70)&lt;=$A70+6/24)),1,0)))</f>
        <v>1</v>
      </c>
      <c r="X70" s="26" t="str">
        <f aca="false">IF($A70="","",IF(INDEX(Muster!$C$8:$BF$8,1,MOD($A70-Einstellungen!$C$6,Einstellungen!$C$7)+1)="","-",INDEX(Muster!$C$8:$BF$8,1,MOD($A70-Einstellungen!$C$6,Einstellungen!$C$7)+1)))</f>
        <v>S</v>
      </c>
      <c r="Y70" s="27" t="n">
        <f aca="false">IF($A70="","",IFERROR(VLOOKUP(X70,Schichten!$A$5:$G$24,6,FALSE()),0))</f>
        <v>8</v>
      </c>
      <c r="Z70" s="27" t="n">
        <f aca="false">IF($A70="","",IFERROR(VLOOKUP(X70,Schichten!$A$5:$G$24,7,FALSE()),0))</f>
        <v>0</v>
      </c>
      <c r="AA70" s="28" t="n">
        <f aca="false">IF($A70="","",IF(N(Y70)=0,"",$A70+VLOOKUP(X70,Schichten!$A$5:$G$24,3,FALSE())))</f>
        <v>46453.5833333333</v>
      </c>
      <c r="AB70" s="28" t="n">
        <f aca="false">IF(AA70="","",$A70+VLOOKUP(X70,Schichten!$A$5:$G$24,4,FALSE())+IF(VLOOKUP(X70,Schichten!$A$5:$G$24,4,FALSE())&lt;=VLOOKUP(X70,Schichten!$A$5:$G$24,3,FALSE()),1,0))</f>
        <v>46453.9166666667</v>
      </c>
      <c r="AC70" s="28" t="n">
        <f aca="false">IF($A70="","",IF(N(Y69)&gt;0,AB69,AC69))</f>
        <v>46452.5833333333</v>
      </c>
      <c r="AD70" s="27" t="n">
        <f aca="false">IF(OR(AA70="",AC70=""),"",(AA70-AC70)*24)</f>
        <v>24</v>
      </c>
      <c r="AE70" s="21" t="n">
        <f aca="false">IF($A70="","",IF(N(Y70)&gt;0,N(AE69)+1,0))</f>
        <v>3</v>
      </c>
      <c r="AF70" s="21" t="n">
        <f aca="false">IF($A70="","",IF(N(Z70)&gt;0,N(AF69)+1,0))</f>
        <v>0</v>
      </c>
      <c r="AG70" s="21" t="n">
        <f aca="false">IF($A70="","",IF(WEEKDAY($A70,2)&lt;&gt;7,"",IF(AND(OR(AA70="",N(AA70)&gt;=$A70+16/24,N(AB70)&lt;=$A70+6/24),OR(AC70="",N(AC70)&lt;=$A70+6/24)),1,0)))</f>
        <v>0</v>
      </c>
      <c r="AH70" s="26" t="str">
        <f aca="false">IF($A70="","",IF(INDEX(Muster!$C$9:$BF$9,1,MOD($A70-Einstellungen!$C$6,Einstellungen!$C$7)+1)="","-",INDEX(Muster!$C$9:$BF$9,1,MOD($A70-Einstellungen!$C$6,Einstellungen!$C$7)+1)))</f>
        <v>F</v>
      </c>
      <c r="AI70" s="27" t="n">
        <f aca="false">IF($A70="","",IFERROR(VLOOKUP(AH70,Schichten!$A$5:$G$24,6,FALSE()),0))</f>
        <v>8</v>
      </c>
      <c r="AJ70" s="27" t="n">
        <f aca="false">IF($A70="","",IFERROR(VLOOKUP(AH70,Schichten!$A$5:$G$24,7,FALSE()),0))</f>
        <v>0</v>
      </c>
      <c r="AK70" s="28" t="n">
        <f aca="false">IF($A70="","",IF(N(AI70)=0,"",$A70+VLOOKUP(AH70,Schichten!$A$5:$G$24,3,FALSE())))</f>
        <v>46453.25</v>
      </c>
      <c r="AL70" s="28" t="n">
        <f aca="false">IF(AK70="","",$A70+VLOOKUP(AH70,Schichten!$A$5:$G$24,4,FALSE())+IF(VLOOKUP(AH70,Schichten!$A$5:$G$24,4,FALSE())&lt;=VLOOKUP(AH70,Schichten!$A$5:$G$24,3,FALSE()),1,0))</f>
        <v>46453.5833333333</v>
      </c>
      <c r="AM70" s="28" t="n">
        <f aca="false">IF($A70="","",IF(N(AI69)&gt;0,AL69,AM69))</f>
        <v>46451.25</v>
      </c>
      <c r="AN70" s="27" t="n">
        <f aca="false">IF(OR(AK70="",AM70=""),"",(AK70-AM70)*24)</f>
        <v>48</v>
      </c>
      <c r="AO70" s="21" t="n">
        <f aca="false">IF($A70="","",IF(N(AI70)&gt;0,N(AO69)+1,0))</f>
        <v>1</v>
      </c>
      <c r="AP70" s="21" t="n">
        <f aca="false">IF($A70="","",IF(N(AJ70)&gt;0,N(AP69)+1,0))</f>
        <v>0</v>
      </c>
      <c r="AQ70" s="21" t="n">
        <f aca="false">IF($A70="","",IF(WEEKDAY($A70,2)&lt;&gt;7,"",IF(AND(OR(AK70="",N(AK70)&gt;=$A70+16/24,N(AL70)&lt;=$A70+6/24),OR(AM70="",N(AM70)&lt;=$A70+6/24)),1,0)))</f>
        <v>0</v>
      </c>
      <c r="AR70" s="26" t="str">
        <f aca="false">IF($A70="","",IF(INDEX(Muster!$C$10:$BF$10,1,MOD($A70-Einstellungen!$C$6,Einstellungen!$C$7)+1)="","-",INDEX(Muster!$C$10:$BF$10,1,MOD($A70-Einstellungen!$C$6,Einstellungen!$C$7)+1)))</f>
        <v>-</v>
      </c>
      <c r="AS70" s="27" t="n">
        <f aca="false">IF($A70="","",IFERROR(VLOOKUP(AR70,Schichten!$A$5:$G$24,6,FALSE()),0))</f>
        <v>0</v>
      </c>
      <c r="AT70" s="27" t="n">
        <f aca="false">IF($A70="","",IFERROR(VLOOKUP(AR70,Schichten!$A$5:$G$24,7,FALSE()),0))</f>
        <v>0</v>
      </c>
      <c r="AU70" s="28" t="str">
        <f aca="false">IF($A70="","",IF(N(AS70)=0,"",$A70+VLOOKUP(AR70,Schichten!$A$5:$G$24,3,FALSE())))</f>
        <v/>
      </c>
      <c r="AV70" s="28" t="str">
        <f aca="false">IF(AU70="","",$A70+VLOOKUP(AR70,Schichten!$A$5:$G$24,4,FALSE())+IF(VLOOKUP(AR70,Schichten!$A$5:$G$24,4,FALSE())&lt;=VLOOKUP(AR70,Schichten!$A$5:$G$24,3,FALSE()),1,0))</f>
        <v/>
      </c>
      <c r="AW70" s="28" t="str">
        <f aca="false">IF($A70="","",IF(N(AS69)&gt;0,AV69,AW69))</f>
        <v/>
      </c>
      <c r="AX70" s="27" t="str">
        <f aca="false">IF(OR(AU70="",AW70=""),"",(AU70-AW70)*24)</f>
        <v/>
      </c>
      <c r="AY70" s="21" t="n">
        <f aca="false">IF($A70="","",IF(N(AS70)&gt;0,N(AY69)+1,0))</f>
        <v>0</v>
      </c>
      <c r="AZ70" s="21" t="n">
        <f aca="false">IF($A70="","",IF(N(AT70)&gt;0,N(AZ69)+1,0))</f>
        <v>0</v>
      </c>
      <c r="BA70" s="21" t="n">
        <f aca="false">IF($A70="","",IF(WEEKDAY($A70,2)&lt;&gt;7,"",IF(AND(OR(AU70="",N(AU70)&gt;=$A70+16/24,N(AV70)&lt;=$A70+6/24),OR(AW70="",N(AW70)&lt;=$A70+6/24)),1,0)))</f>
        <v>1</v>
      </c>
    </row>
    <row r="71" customFormat="false" ht="15" hidden="false" customHeight="false" outlineLevel="0" collapsed="false">
      <c r="A71" s="25" t="n">
        <f aca="false">IF(YEAR(DATE(Einstellungen!$C$4,1,1)+66)=Einstellungen!$C$4,DATE(Einstellungen!$C$4,1,1)+66,"")</f>
        <v>46454</v>
      </c>
      <c r="B71" s="26" t="str">
        <f aca="false">IF($A71="","",CHOOSE(WEEKDAY($A71,2),"Mo","Di","Mi","Do","Fr","Sa","So"))</f>
        <v>Mo</v>
      </c>
      <c r="C71" s="26" t="n">
        <f aca="false">IF($A71="","",MONTH($A71))</f>
        <v>3</v>
      </c>
      <c r="D71" s="26" t="str">
        <f aca="false">IF($A71="","",IF(INDEX(Muster!$C$6:$BF$6,1,MOD($A71-Einstellungen!$C$6,Einstellungen!$C$7)+1)="","-",INDEX(Muster!$C$6:$BF$6,1,MOD($A71-Einstellungen!$C$6,Einstellungen!$C$7)+1)))</f>
        <v>-</v>
      </c>
      <c r="E71" s="27" t="n">
        <f aca="false">IF($A71="","",IFERROR(VLOOKUP(D71,Schichten!$A$5:$G$24,6,FALSE()),0))</f>
        <v>0</v>
      </c>
      <c r="F71" s="27" t="n">
        <f aca="false">IF($A71="","",IFERROR(VLOOKUP(D71,Schichten!$A$5:$G$24,7,FALSE()),0))</f>
        <v>0</v>
      </c>
      <c r="G71" s="28" t="str">
        <f aca="false">IF($A71="","",IF(N(E71)=0,"",$A71+VLOOKUP(D71,Schichten!$A$5:$G$24,3,FALSE())))</f>
        <v/>
      </c>
      <c r="H71" s="28" t="str">
        <f aca="false">IF(G71="","",$A71+VLOOKUP(D71,Schichten!$A$5:$G$24,4,FALSE())+IF(VLOOKUP(D71,Schichten!$A$5:$G$24,4,FALSE())&lt;=VLOOKUP(D71,Schichten!$A$5:$G$24,3,FALSE()),1,0))</f>
        <v/>
      </c>
      <c r="I71" s="28" t="n">
        <f aca="false">IF($A71="","",IF(N(E70)&gt;0,H70,I70))</f>
        <v>46453.25</v>
      </c>
      <c r="J71" s="27" t="str">
        <f aca="false">IF(OR(G71="",I71=""),"",(G71-I71)*24)</f>
        <v/>
      </c>
      <c r="K71" s="21" t="n">
        <f aca="false">IF($A71="","",IF(N(E71)&gt;0,N(K70)+1,0))</f>
        <v>0</v>
      </c>
      <c r="L71" s="21" t="n">
        <f aca="false">IF($A71="","",IF(N(F71)&gt;0,N(L70)+1,0))</f>
        <v>0</v>
      </c>
      <c r="M71" s="21" t="str">
        <f aca="false">IF($A71="","",IF(WEEKDAY($A71,2)&lt;&gt;7,"",IF(AND(OR(G71="",N(G71)&gt;=$A71+16/24,N(H71)&lt;=$A71+6/24),OR(I71="",N(I71)&lt;=$A71+6/24)),1,0)))</f>
        <v/>
      </c>
      <c r="N71" s="26" t="str">
        <f aca="false">IF($A71="","",IF(INDEX(Muster!$C$7:$BF$7,1,MOD($A71-Einstellungen!$C$6,Einstellungen!$C$7)+1)="","-",INDEX(Muster!$C$7:$BF$7,1,MOD($A71-Einstellungen!$C$6,Einstellungen!$C$7)+1)))</f>
        <v>N</v>
      </c>
      <c r="O71" s="27" t="n">
        <f aca="false">IF($A71="","",IFERROR(VLOOKUP(N71,Schichten!$A$5:$G$24,6,FALSE()),0))</f>
        <v>8</v>
      </c>
      <c r="P71" s="27" t="n">
        <f aca="false">IF($A71="","",IFERROR(VLOOKUP(N71,Schichten!$A$5:$G$24,7,FALSE()),0))</f>
        <v>7</v>
      </c>
      <c r="Q71" s="28" t="n">
        <f aca="false">IF($A71="","",IF(N(O71)=0,"",$A71+VLOOKUP(N71,Schichten!$A$5:$G$24,3,FALSE())))</f>
        <v>46454.9166666667</v>
      </c>
      <c r="R71" s="28" t="n">
        <f aca="false">IF(Q71="","",$A71+VLOOKUP(N71,Schichten!$A$5:$G$24,4,FALSE())+IF(VLOOKUP(N71,Schichten!$A$5:$G$24,4,FALSE())&lt;=VLOOKUP(N71,Schichten!$A$5:$G$24,3,FALSE()),1,0))</f>
        <v>46455.25</v>
      </c>
      <c r="S71" s="28" t="n">
        <f aca="false">IF($A71="","",IF(N(O70)&gt;0,R70,S70))</f>
        <v>46454.25</v>
      </c>
      <c r="T71" s="27" t="n">
        <f aca="false">IF(OR(Q71="",S71=""),"",(Q71-S71)*24)</f>
        <v>16</v>
      </c>
      <c r="U71" s="21" t="n">
        <f aca="false">IF($A71="","",IF(N(O71)&gt;0,N(U70)+1,0))</f>
        <v>6</v>
      </c>
      <c r="V71" s="21" t="n">
        <f aca="false">IF($A71="","",IF(N(P71)&gt;0,N(V70)+1,0))</f>
        <v>2</v>
      </c>
      <c r="W71" s="21" t="str">
        <f aca="false">IF($A71="","",IF(WEEKDAY($A71,2)&lt;&gt;7,"",IF(AND(OR(Q71="",N(Q71)&gt;=$A71+16/24,N(R71)&lt;=$A71+6/24),OR(S71="",N(S71)&lt;=$A71+6/24)),1,0)))</f>
        <v/>
      </c>
      <c r="X71" s="26" t="str">
        <f aca="false">IF($A71="","",IF(INDEX(Muster!$C$8:$BF$8,1,MOD($A71-Einstellungen!$C$6,Einstellungen!$C$7)+1)="","-",INDEX(Muster!$C$8:$BF$8,1,MOD($A71-Einstellungen!$C$6,Einstellungen!$C$7)+1)))</f>
        <v>S</v>
      </c>
      <c r="Y71" s="27" t="n">
        <f aca="false">IF($A71="","",IFERROR(VLOOKUP(X71,Schichten!$A$5:$G$24,6,FALSE()),0))</f>
        <v>8</v>
      </c>
      <c r="Z71" s="27" t="n">
        <f aca="false">IF($A71="","",IFERROR(VLOOKUP(X71,Schichten!$A$5:$G$24,7,FALSE()),0))</f>
        <v>0</v>
      </c>
      <c r="AA71" s="28" t="n">
        <f aca="false">IF($A71="","",IF(N(Y71)=0,"",$A71+VLOOKUP(X71,Schichten!$A$5:$G$24,3,FALSE())))</f>
        <v>46454.5833333333</v>
      </c>
      <c r="AB71" s="28" t="n">
        <f aca="false">IF(AA71="","",$A71+VLOOKUP(X71,Schichten!$A$5:$G$24,4,FALSE())+IF(VLOOKUP(X71,Schichten!$A$5:$G$24,4,FALSE())&lt;=VLOOKUP(X71,Schichten!$A$5:$G$24,3,FALSE()),1,0))</f>
        <v>46454.9166666667</v>
      </c>
      <c r="AC71" s="28" t="n">
        <f aca="false">IF($A71="","",IF(N(Y70)&gt;0,AB70,AC70))</f>
        <v>46453.9166666667</v>
      </c>
      <c r="AD71" s="27" t="n">
        <f aca="false">IF(OR(AA71="",AC71=""),"",(AA71-AC71)*24)</f>
        <v>16</v>
      </c>
      <c r="AE71" s="21" t="n">
        <f aca="false">IF($A71="","",IF(N(Y71)&gt;0,N(AE70)+1,0))</f>
        <v>4</v>
      </c>
      <c r="AF71" s="21" t="n">
        <f aca="false">IF($A71="","",IF(N(Z71)&gt;0,N(AF70)+1,0))</f>
        <v>0</v>
      </c>
      <c r="AG71" s="21" t="str">
        <f aca="false">IF($A71="","",IF(WEEKDAY($A71,2)&lt;&gt;7,"",IF(AND(OR(AA71="",N(AA71)&gt;=$A71+16/24,N(AB71)&lt;=$A71+6/24),OR(AC71="",N(AC71)&lt;=$A71+6/24)),1,0)))</f>
        <v/>
      </c>
      <c r="AH71" s="26" t="str">
        <f aca="false">IF($A71="","",IF(INDEX(Muster!$C$9:$BF$9,1,MOD($A71-Einstellungen!$C$6,Einstellungen!$C$7)+1)="","-",INDEX(Muster!$C$9:$BF$9,1,MOD($A71-Einstellungen!$C$6,Einstellungen!$C$7)+1)))</f>
        <v>F</v>
      </c>
      <c r="AI71" s="27" t="n">
        <f aca="false">IF($A71="","",IFERROR(VLOOKUP(AH71,Schichten!$A$5:$G$24,6,FALSE()),0))</f>
        <v>8</v>
      </c>
      <c r="AJ71" s="27" t="n">
        <f aca="false">IF($A71="","",IFERROR(VLOOKUP(AH71,Schichten!$A$5:$G$24,7,FALSE()),0))</f>
        <v>0</v>
      </c>
      <c r="AK71" s="28" t="n">
        <f aca="false">IF($A71="","",IF(N(AI71)=0,"",$A71+VLOOKUP(AH71,Schichten!$A$5:$G$24,3,FALSE())))</f>
        <v>46454.25</v>
      </c>
      <c r="AL71" s="28" t="n">
        <f aca="false">IF(AK71="","",$A71+VLOOKUP(AH71,Schichten!$A$5:$G$24,4,FALSE())+IF(VLOOKUP(AH71,Schichten!$A$5:$G$24,4,FALSE())&lt;=VLOOKUP(AH71,Schichten!$A$5:$G$24,3,FALSE()),1,0))</f>
        <v>46454.5833333333</v>
      </c>
      <c r="AM71" s="28" t="n">
        <f aca="false">IF($A71="","",IF(N(AI70)&gt;0,AL70,AM70))</f>
        <v>46453.5833333333</v>
      </c>
      <c r="AN71" s="27" t="n">
        <f aca="false">IF(OR(AK71="",AM71=""),"",(AK71-AM71)*24)</f>
        <v>16</v>
      </c>
      <c r="AO71" s="21" t="n">
        <f aca="false">IF($A71="","",IF(N(AI71)&gt;0,N(AO70)+1,0))</f>
        <v>2</v>
      </c>
      <c r="AP71" s="21" t="n">
        <f aca="false">IF($A71="","",IF(N(AJ71)&gt;0,N(AP70)+1,0))</f>
        <v>0</v>
      </c>
      <c r="AQ71" s="21" t="str">
        <f aca="false">IF($A71="","",IF(WEEKDAY($A71,2)&lt;&gt;7,"",IF(AND(OR(AK71="",N(AK71)&gt;=$A71+16/24,N(AL71)&lt;=$A71+6/24),OR(AM71="",N(AM71)&lt;=$A71+6/24)),1,0)))</f>
        <v/>
      </c>
      <c r="AR71" s="26" t="str">
        <f aca="false">IF($A71="","",IF(INDEX(Muster!$C$10:$BF$10,1,MOD($A71-Einstellungen!$C$6,Einstellungen!$C$7)+1)="","-",INDEX(Muster!$C$10:$BF$10,1,MOD($A71-Einstellungen!$C$6,Einstellungen!$C$7)+1)))</f>
        <v>-</v>
      </c>
      <c r="AS71" s="27" t="n">
        <f aca="false">IF($A71="","",IFERROR(VLOOKUP(AR71,Schichten!$A$5:$G$24,6,FALSE()),0))</f>
        <v>0</v>
      </c>
      <c r="AT71" s="27" t="n">
        <f aca="false">IF($A71="","",IFERROR(VLOOKUP(AR71,Schichten!$A$5:$G$24,7,FALSE()),0))</f>
        <v>0</v>
      </c>
      <c r="AU71" s="28" t="str">
        <f aca="false">IF($A71="","",IF(N(AS71)=0,"",$A71+VLOOKUP(AR71,Schichten!$A$5:$G$24,3,FALSE())))</f>
        <v/>
      </c>
      <c r="AV71" s="28" t="str">
        <f aca="false">IF(AU71="","",$A71+VLOOKUP(AR71,Schichten!$A$5:$G$24,4,FALSE())+IF(VLOOKUP(AR71,Schichten!$A$5:$G$24,4,FALSE())&lt;=VLOOKUP(AR71,Schichten!$A$5:$G$24,3,FALSE()),1,0))</f>
        <v/>
      </c>
      <c r="AW71" s="28" t="str">
        <f aca="false">IF($A71="","",IF(N(AS70)&gt;0,AV70,AW70))</f>
        <v/>
      </c>
      <c r="AX71" s="27" t="str">
        <f aca="false">IF(OR(AU71="",AW71=""),"",(AU71-AW71)*24)</f>
        <v/>
      </c>
      <c r="AY71" s="21" t="n">
        <f aca="false">IF($A71="","",IF(N(AS71)&gt;0,N(AY70)+1,0))</f>
        <v>0</v>
      </c>
      <c r="AZ71" s="21" t="n">
        <f aca="false">IF($A71="","",IF(N(AT71)&gt;0,N(AZ70)+1,0))</f>
        <v>0</v>
      </c>
      <c r="BA71" s="21" t="str">
        <f aca="false">IF($A71="","",IF(WEEKDAY($A71,2)&lt;&gt;7,"",IF(AND(OR(AU71="",N(AU71)&gt;=$A71+16/24,N(AV71)&lt;=$A71+6/24),OR(AW71="",N(AW71)&lt;=$A71+6/24)),1,0)))</f>
        <v/>
      </c>
    </row>
    <row r="72" customFormat="false" ht="15" hidden="false" customHeight="false" outlineLevel="0" collapsed="false">
      <c r="A72" s="25" t="n">
        <f aca="false">IF(YEAR(DATE(Einstellungen!$C$4,1,1)+67)=Einstellungen!$C$4,DATE(Einstellungen!$C$4,1,1)+67,"")</f>
        <v>46455</v>
      </c>
      <c r="B72" s="26" t="str">
        <f aca="false">IF($A72="","",CHOOSE(WEEKDAY($A72,2),"Mo","Di","Mi","Do","Fr","Sa","So"))</f>
        <v>Di</v>
      </c>
      <c r="C72" s="26" t="n">
        <f aca="false">IF($A72="","",MONTH($A72))</f>
        <v>3</v>
      </c>
      <c r="D72" s="26" t="str">
        <f aca="false">IF($A72="","",IF(INDEX(Muster!$C$6:$BF$6,1,MOD($A72-Einstellungen!$C$6,Einstellungen!$C$7)+1)="","-",INDEX(Muster!$C$6:$BF$6,1,MOD($A72-Einstellungen!$C$6,Einstellungen!$C$7)+1)))</f>
        <v>F</v>
      </c>
      <c r="E72" s="27" t="n">
        <f aca="false">IF($A72="","",IFERROR(VLOOKUP(D72,Schichten!$A$5:$G$24,6,FALSE()),0))</f>
        <v>8</v>
      </c>
      <c r="F72" s="27" t="n">
        <f aca="false">IF($A72="","",IFERROR(VLOOKUP(D72,Schichten!$A$5:$G$24,7,FALSE()),0))</f>
        <v>0</v>
      </c>
      <c r="G72" s="28" t="n">
        <f aca="false">IF($A72="","",IF(N(E72)=0,"",$A72+VLOOKUP(D72,Schichten!$A$5:$G$24,3,FALSE())))</f>
        <v>46455.25</v>
      </c>
      <c r="H72" s="28" t="n">
        <f aca="false">IF(G72="","",$A72+VLOOKUP(D72,Schichten!$A$5:$G$24,4,FALSE())+IF(VLOOKUP(D72,Schichten!$A$5:$G$24,4,FALSE())&lt;=VLOOKUP(D72,Schichten!$A$5:$G$24,3,FALSE()),1,0))</f>
        <v>46455.5833333333</v>
      </c>
      <c r="I72" s="28" t="n">
        <f aca="false">IF($A72="","",IF(N(E71)&gt;0,H71,I71))</f>
        <v>46453.25</v>
      </c>
      <c r="J72" s="27" t="n">
        <f aca="false">IF(OR(G72="",I72=""),"",(G72-I72)*24)</f>
        <v>48</v>
      </c>
      <c r="K72" s="21" t="n">
        <f aca="false">IF($A72="","",IF(N(E72)&gt;0,N(K71)+1,0))</f>
        <v>1</v>
      </c>
      <c r="L72" s="21" t="n">
        <f aca="false">IF($A72="","",IF(N(F72)&gt;0,N(L71)+1,0))</f>
        <v>0</v>
      </c>
      <c r="M72" s="21" t="str">
        <f aca="false">IF($A72="","",IF(WEEKDAY($A72,2)&lt;&gt;7,"",IF(AND(OR(G72="",N(G72)&gt;=$A72+16/24,N(H72)&lt;=$A72+6/24),OR(I72="",N(I72)&lt;=$A72+6/24)),1,0)))</f>
        <v/>
      </c>
      <c r="N72" s="26" t="str">
        <f aca="false">IF($A72="","",IF(INDEX(Muster!$C$7:$BF$7,1,MOD($A72-Einstellungen!$C$6,Einstellungen!$C$7)+1)="","-",INDEX(Muster!$C$7:$BF$7,1,MOD($A72-Einstellungen!$C$6,Einstellungen!$C$7)+1)))</f>
        <v>-</v>
      </c>
      <c r="O72" s="27" t="n">
        <f aca="false">IF($A72="","",IFERROR(VLOOKUP(N72,Schichten!$A$5:$G$24,6,FALSE()),0))</f>
        <v>0</v>
      </c>
      <c r="P72" s="27" t="n">
        <f aca="false">IF($A72="","",IFERROR(VLOOKUP(N72,Schichten!$A$5:$G$24,7,FALSE()),0))</f>
        <v>0</v>
      </c>
      <c r="Q72" s="28" t="str">
        <f aca="false">IF($A72="","",IF(N(O72)=0,"",$A72+VLOOKUP(N72,Schichten!$A$5:$G$24,3,FALSE())))</f>
        <v/>
      </c>
      <c r="R72" s="28" t="str">
        <f aca="false">IF(Q72="","",$A72+VLOOKUP(N72,Schichten!$A$5:$G$24,4,FALSE())+IF(VLOOKUP(N72,Schichten!$A$5:$G$24,4,FALSE())&lt;=VLOOKUP(N72,Schichten!$A$5:$G$24,3,FALSE()),1,0))</f>
        <v/>
      </c>
      <c r="S72" s="28" t="n">
        <f aca="false">IF($A72="","",IF(N(O71)&gt;0,R71,S71))</f>
        <v>46455.25</v>
      </c>
      <c r="T72" s="27" t="str">
        <f aca="false">IF(OR(Q72="",S72=""),"",(Q72-S72)*24)</f>
        <v/>
      </c>
      <c r="U72" s="21" t="n">
        <f aca="false">IF($A72="","",IF(N(O72)&gt;0,N(U71)+1,0))</f>
        <v>0</v>
      </c>
      <c r="V72" s="21" t="n">
        <f aca="false">IF($A72="","",IF(N(P72)&gt;0,N(V71)+1,0))</f>
        <v>0</v>
      </c>
      <c r="W72" s="21" t="str">
        <f aca="false">IF($A72="","",IF(WEEKDAY($A72,2)&lt;&gt;7,"",IF(AND(OR(Q72="",N(Q72)&gt;=$A72+16/24,N(R72)&lt;=$A72+6/24),OR(S72="",N(S72)&lt;=$A72+6/24)),1,0)))</f>
        <v/>
      </c>
      <c r="X72" s="26" t="str">
        <f aca="false">IF($A72="","",IF(INDEX(Muster!$C$8:$BF$8,1,MOD($A72-Einstellungen!$C$6,Einstellungen!$C$7)+1)="","-",INDEX(Muster!$C$8:$BF$8,1,MOD($A72-Einstellungen!$C$6,Einstellungen!$C$7)+1)))</f>
        <v>N</v>
      </c>
      <c r="Y72" s="27" t="n">
        <f aca="false">IF($A72="","",IFERROR(VLOOKUP(X72,Schichten!$A$5:$G$24,6,FALSE()),0))</f>
        <v>8</v>
      </c>
      <c r="Z72" s="27" t="n">
        <f aca="false">IF($A72="","",IFERROR(VLOOKUP(X72,Schichten!$A$5:$G$24,7,FALSE()),0))</f>
        <v>7</v>
      </c>
      <c r="AA72" s="28" t="n">
        <f aca="false">IF($A72="","",IF(N(Y72)=0,"",$A72+VLOOKUP(X72,Schichten!$A$5:$G$24,3,FALSE())))</f>
        <v>46455.9166666667</v>
      </c>
      <c r="AB72" s="28" t="n">
        <f aca="false">IF(AA72="","",$A72+VLOOKUP(X72,Schichten!$A$5:$G$24,4,FALSE())+IF(VLOOKUP(X72,Schichten!$A$5:$G$24,4,FALSE())&lt;=VLOOKUP(X72,Schichten!$A$5:$G$24,3,FALSE()),1,0))</f>
        <v>46456.25</v>
      </c>
      <c r="AC72" s="28" t="n">
        <f aca="false">IF($A72="","",IF(N(Y71)&gt;0,AB71,AC71))</f>
        <v>46454.9166666667</v>
      </c>
      <c r="AD72" s="27" t="n">
        <f aca="false">IF(OR(AA72="",AC72=""),"",(AA72-AC72)*24)</f>
        <v>24</v>
      </c>
      <c r="AE72" s="21" t="n">
        <f aca="false">IF($A72="","",IF(N(Y72)&gt;0,N(AE71)+1,0))</f>
        <v>5</v>
      </c>
      <c r="AF72" s="21" t="n">
        <f aca="false">IF($A72="","",IF(N(Z72)&gt;0,N(AF71)+1,0))</f>
        <v>1</v>
      </c>
      <c r="AG72" s="21" t="str">
        <f aca="false">IF($A72="","",IF(WEEKDAY($A72,2)&lt;&gt;7,"",IF(AND(OR(AA72="",N(AA72)&gt;=$A72+16/24,N(AB72)&lt;=$A72+6/24),OR(AC72="",N(AC72)&lt;=$A72+6/24)),1,0)))</f>
        <v/>
      </c>
      <c r="AH72" s="26" t="str">
        <f aca="false">IF($A72="","",IF(INDEX(Muster!$C$9:$BF$9,1,MOD($A72-Einstellungen!$C$6,Einstellungen!$C$7)+1)="","-",INDEX(Muster!$C$9:$BF$9,1,MOD($A72-Einstellungen!$C$6,Einstellungen!$C$7)+1)))</f>
        <v>S</v>
      </c>
      <c r="AI72" s="27" t="n">
        <f aca="false">IF($A72="","",IFERROR(VLOOKUP(AH72,Schichten!$A$5:$G$24,6,FALSE()),0))</f>
        <v>8</v>
      </c>
      <c r="AJ72" s="27" t="n">
        <f aca="false">IF($A72="","",IFERROR(VLOOKUP(AH72,Schichten!$A$5:$G$24,7,FALSE()),0))</f>
        <v>0</v>
      </c>
      <c r="AK72" s="28" t="n">
        <f aca="false">IF($A72="","",IF(N(AI72)=0,"",$A72+VLOOKUP(AH72,Schichten!$A$5:$G$24,3,FALSE())))</f>
        <v>46455.5833333333</v>
      </c>
      <c r="AL72" s="28" t="n">
        <f aca="false">IF(AK72="","",$A72+VLOOKUP(AH72,Schichten!$A$5:$G$24,4,FALSE())+IF(VLOOKUP(AH72,Schichten!$A$5:$G$24,4,FALSE())&lt;=VLOOKUP(AH72,Schichten!$A$5:$G$24,3,FALSE()),1,0))</f>
        <v>46455.9166666667</v>
      </c>
      <c r="AM72" s="28" t="n">
        <f aca="false">IF($A72="","",IF(N(AI71)&gt;0,AL71,AM71))</f>
        <v>46454.5833333333</v>
      </c>
      <c r="AN72" s="27" t="n">
        <f aca="false">IF(OR(AK72="",AM72=""),"",(AK72-AM72)*24)</f>
        <v>24</v>
      </c>
      <c r="AO72" s="21" t="n">
        <f aca="false">IF($A72="","",IF(N(AI72)&gt;0,N(AO71)+1,0))</f>
        <v>3</v>
      </c>
      <c r="AP72" s="21" t="n">
        <f aca="false">IF($A72="","",IF(N(AJ72)&gt;0,N(AP71)+1,0))</f>
        <v>0</v>
      </c>
      <c r="AQ72" s="21" t="str">
        <f aca="false">IF($A72="","",IF(WEEKDAY($A72,2)&lt;&gt;7,"",IF(AND(OR(AK72="",N(AK72)&gt;=$A72+16/24,N(AL72)&lt;=$A72+6/24),OR(AM72="",N(AM72)&lt;=$A72+6/24)),1,0)))</f>
        <v/>
      </c>
      <c r="AR72" s="26" t="str">
        <f aca="false">IF($A72="","",IF(INDEX(Muster!$C$10:$BF$10,1,MOD($A72-Einstellungen!$C$6,Einstellungen!$C$7)+1)="","-",INDEX(Muster!$C$10:$BF$10,1,MOD($A72-Einstellungen!$C$6,Einstellungen!$C$7)+1)))</f>
        <v>-</v>
      </c>
      <c r="AS72" s="27" t="n">
        <f aca="false">IF($A72="","",IFERROR(VLOOKUP(AR72,Schichten!$A$5:$G$24,6,FALSE()),0))</f>
        <v>0</v>
      </c>
      <c r="AT72" s="27" t="n">
        <f aca="false">IF($A72="","",IFERROR(VLOOKUP(AR72,Schichten!$A$5:$G$24,7,FALSE()),0))</f>
        <v>0</v>
      </c>
      <c r="AU72" s="28" t="str">
        <f aca="false">IF($A72="","",IF(N(AS72)=0,"",$A72+VLOOKUP(AR72,Schichten!$A$5:$G$24,3,FALSE())))</f>
        <v/>
      </c>
      <c r="AV72" s="28" t="str">
        <f aca="false">IF(AU72="","",$A72+VLOOKUP(AR72,Schichten!$A$5:$G$24,4,FALSE())+IF(VLOOKUP(AR72,Schichten!$A$5:$G$24,4,FALSE())&lt;=VLOOKUP(AR72,Schichten!$A$5:$G$24,3,FALSE()),1,0))</f>
        <v/>
      </c>
      <c r="AW72" s="28" t="str">
        <f aca="false">IF($A72="","",IF(N(AS71)&gt;0,AV71,AW71))</f>
        <v/>
      </c>
      <c r="AX72" s="27" t="str">
        <f aca="false">IF(OR(AU72="",AW72=""),"",(AU72-AW72)*24)</f>
        <v/>
      </c>
      <c r="AY72" s="21" t="n">
        <f aca="false">IF($A72="","",IF(N(AS72)&gt;0,N(AY71)+1,0))</f>
        <v>0</v>
      </c>
      <c r="AZ72" s="21" t="n">
        <f aca="false">IF($A72="","",IF(N(AT72)&gt;0,N(AZ71)+1,0))</f>
        <v>0</v>
      </c>
      <c r="BA72" s="21" t="str">
        <f aca="false">IF($A72="","",IF(WEEKDAY($A72,2)&lt;&gt;7,"",IF(AND(OR(AU72="",N(AU72)&gt;=$A72+16/24,N(AV72)&lt;=$A72+6/24),OR(AW72="",N(AW72)&lt;=$A72+6/24)),1,0)))</f>
        <v/>
      </c>
    </row>
    <row r="73" customFormat="false" ht="15" hidden="false" customHeight="false" outlineLevel="0" collapsed="false">
      <c r="A73" s="25" t="n">
        <f aca="false">IF(YEAR(DATE(Einstellungen!$C$4,1,1)+68)=Einstellungen!$C$4,DATE(Einstellungen!$C$4,1,1)+68,"")</f>
        <v>46456</v>
      </c>
      <c r="B73" s="26" t="str">
        <f aca="false">IF($A73="","",CHOOSE(WEEKDAY($A73,2),"Mo","Di","Mi","Do","Fr","Sa","So"))</f>
        <v>Mi</v>
      </c>
      <c r="C73" s="26" t="n">
        <f aca="false">IF($A73="","",MONTH($A73))</f>
        <v>3</v>
      </c>
      <c r="D73" s="26" t="str">
        <f aca="false">IF($A73="","",IF(INDEX(Muster!$C$6:$BF$6,1,MOD($A73-Einstellungen!$C$6,Einstellungen!$C$7)+1)="","-",INDEX(Muster!$C$6:$BF$6,1,MOD($A73-Einstellungen!$C$6,Einstellungen!$C$7)+1)))</f>
        <v>F</v>
      </c>
      <c r="E73" s="27" t="n">
        <f aca="false">IF($A73="","",IFERROR(VLOOKUP(D73,Schichten!$A$5:$G$24,6,FALSE()),0))</f>
        <v>8</v>
      </c>
      <c r="F73" s="27" t="n">
        <f aca="false">IF($A73="","",IFERROR(VLOOKUP(D73,Schichten!$A$5:$G$24,7,FALSE()),0))</f>
        <v>0</v>
      </c>
      <c r="G73" s="28" t="n">
        <f aca="false">IF($A73="","",IF(N(E73)=0,"",$A73+VLOOKUP(D73,Schichten!$A$5:$G$24,3,FALSE())))</f>
        <v>46456.25</v>
      </c>
      <c r="H73" s="28" t="n">
        <f aca="false">IF(G73="","",$A73+VLOOKUP(D73,Schichten!$A$5:$G$24,4,FALSE())+IF(VLOOKUP(D73,Schichten!$A$5:$G$24,4,FALSE())&lt;=VLOOKUP(D73,Schichten!$A$5:$G$24,3,FALSE()),1,0))</f>
        <v>46456.5833333333</v>
      </c>
      <c r="I73" s="28" t="n">
        <f aca="false">IF($A73="","",IF(N(E72)&gt;0,H72,I72))</f>
        <v>46455.5833333333</v>
      </c>
      <c r="J73" s="27" t="n">
        <f aca="false">IF(OR(G73="",I73=""),"",(G73-I73)*24)</f>
        <v>16</v>
      </c>
      <c r="K73" s="21" t="n">
        <f aca="false">IF($A73="","",IF(N(E73)&gt;0,N(K72)+1,0))</f>
        <v>2</v>
      </c>
      <c r="L73" s="21" t="n">
        <f aca="false">IF($A73="","",IF(N(F73)&gt;0,N(L72)+1,0))</f>
        <v>0</v>
      </c>
      <c r="M73" s="21" t="str">
        <f aca="false">IF($A73="","",IF(WEEKDAY($A73,2)&lt;&gt;7,"",IF(AND(OR(G73="",N(G73)&gt;=$A73+16/24,N(H73)&lt;=$A73+6/24),OR(I73="",N(I73)&lt;=$A73+6/24)),1,0)))</f>
        <v/>
      </c>
      <c r="N73" s="26" t="str">
        <f aca="false">IF($A73="","",IF(INDEX(Muster!$C$7:$BF$7,1,MOD($A73-Einstellungen!$C$6,Einstellungen!$C$7)+1)="","-",INDEX(Muster!$C$7:$BF$7,1,MOD($A73-Einstellungen!$C$6,Einstellungen!$C$7)+1)))</f>
        <v>-</v>
      </c>
      <c r="O73" s="27" t="n">
        <f aca="false">IF($A73="","",IFERROR(VLOOKUP(N73,Schichten!$A$5:$G$24,6,FALSE()),0))</f>
        <v>0</v>
      </c>
      <c r="P73" s="27" t="n">
        <f aca="false">IF($A73="","",IFERROR(VLOOKUP(N73,Schichten!$A$5:$G$24,7,FALSE()),0))</f>
        <v>0</v>
      </c>
      <c r="Q73" s="28" t="str">
        <f aca="false">IF($A73="","",IF(N(O73)=0,"",$A73+VLOOKUP(N73,Schichten!$A$5:$G$24,3,FALSE())))</f>
        <v/>
      </c>
      <c r="R73" s="28" t="str">
        <f aca="false">IF(Q73="","",$A73+VLOOKUP(N73,Schichten!$A$5:$G$24,4,FALSE())+IF(VLOOKUP(N73,Schichten!$A$5:$G$24,4,FALSE())&lt;=VLOOKUP(N73,Schichten!$A$5:$G$24,3,FALSE()),1,0))</f>
        <v/>
      </c>
      <c r="S73" s="28" t="n">
        <f aca="false">IF($A73="","",IF(N(O72)&gt;0,R72,S72))</f>
        <v>46455.25</v>
      </c>
      <c r="T73" s="27" t="str">
        <f aca="false">IF(OR(Q73="",S73=""),"",(Q73-S73)*24)</f>
        <v/>
      </c>
      <c r="U73" s="21" t="n">
        <f aca="false">IF($A73="","",IF(N(O73)&gt;0,N(U72)+1,0))</f>
        <v>0</v>
      </c>
      <c r="V73" s="21" t="n">
        <f aca="false">IF($A73="","",IF(N(P73)&gt;0,N(V72)+1,0))</f>
        <v>0</v>
      </c>
      <c r="W73" s="21" t="str">
        <f aca="false">IF($A73="","",IF(WEEKDAY($A73,2)&lt;&gt;7,"",IF(AND(OR(Q73="",N(Q73)&gt;=$A73+16/24,N(R73)&lt;=$A73+6/24),OR(S73="",N(S73)&lt;=$A73+6/24)),1,0)))</f>
        <v/>
      </c>
      <c r="X73" s="26" t="str">
        <f aca="false">IF($A73="","",IF(INDEX(Muster!$C$8:$BF$8,1,MOD($A73-Einstellungen!$C$6,Einstellungen!$C$7)+1)="","-",INDEX(Muster!$C$8:$BF$8,1,MOD($A73-Einstellungen!$C$6,Einstellungen!$C$7)+1)))</f>
        <v>N</v>
      </c>
      <c r="Y73" s="27" t="n">
        <f aca="false">IF($A73="","",IFERROR(VLOOKUP(X73,Schichten!$A$5:$G$24,6,FALSE()),0))</f>
        <v>8</v>
      </c>
      <c r="Z73" s="27" t="n">
        <f aca="false">IF($A73="","",IFERROR(VLOOKUP(X73,Schichten!$A$5:$G$24,7,FALSE()),0))</f>
        <v>7</v>
      </c>
      <c r="AA73" s="28" t="n">
        <f aca="false">IF($A73="","",IF(N(Y73)=0,"",$A73+VLOOKUP(X73,Schichten!$A$5:$G$24,3,FALSE())))</f>
        <v>46456.9166666667</v>
      </c>
      <c r="AB73" s="28" t="n">
        <f aca="false">IF(AA73="","",$A73+VLOOKUP(X73,Schichten!$A$5:$G$24,4,FALSE())+IF(VLOOKUP(X73,Schichten!$A$5:$G$24,4,FALSE())&lt;=VLOOKUP(X73,Schichten!$A$5:$G$24,3,FALSE()),1,0))</f>
        <v>46457.25</v>
      </c>
      <c r="AC73" s="28" t="n">
        <f aca="false">IF($A73="","",IF(N(Y72)&gt;0,AB72,AC72))</f>
        <v>46456.25</v>
      </c>
      <c r="AD73" s="27" t="n">
        <f aca="false">IF(OR(AA73="",AC73=""),"",(AA73-AC73)*24)</f>
        <v>16</v>
      </c>
      <c r="AE73" s="21" t="n">
        <f aca="false">IF($A73="","",IF(N(Y73)&gt;0,N(AE72)+1,0))</f>
        <v>6</v>
      </c>
      <c r="AF73" s="21" t="n">
        <f aca="false">IF($A73="","",IF(N(Z73)&gt;0,N(AF72)+1,0))</f>
        <v>2</v>
      </c>
      <c r="AG73" s="21" t="str">
        <f aca="false">IF($A73="","",IF(WEEKDAY($A73,2)&lt;&gt;7,"",IF(AND(OR(AA73="",N(AA73)&gt;=$A73+16/24,N(AB73)&lt;=$A73+6/24),OR(AC73="",N(AC73)&lt;=$A73+6/24)),1,0)))</f>
        <v/>
      </c>
      <c r="AH73" s="26" t="str">
        <f aca="false">IF($A73="","",IF(INDEX(Muster!$C$9:$BF$9,1,MOD($A73-Einstellungen!$C$6,Einstellungen!$C$7)+1)="","-",INDEX(Muster!$C$9:$BF$9,1,MOD($A73-Einstellungen!$C$6,Einstellungen!$C$7)+1)))</f>
        <v>S</v>
      </c>
      <c r="AI73" s="27" t="n">
        <f aca="false">IF($A73="","",IFERROR(VLOOKUP(AH73,Schichten!$A$5:$G$24,6,FALSE()),0))</f>
        <v>8</v>
      </c>
      <c r="AJ73" s="27" t="n">
        <f aca="false">IF($A73="","",IFERROR(VLOOKUP(AH73,Schichten!$A$5:$G$24,7,FALSE()),0))</f>
        <v>0</v>
      </c>
      <c r="AK73" s="28" t="n">
        <f aca="false">IF($A73="","",IF(N(AI73)=0,"",$A73+VLOOKUP(AH73,Schichten!$A$5:$G$24,3,FALSE())))</f>
        <v>46456.5833333333</v>
      </c>
      <c r="AL73" s="28" t="n">
        <f aca="false">IF(AK73="","",$A73+VLOOKUP(AH73,Schichten!$A$5:$G$24,4,FALSE())+IF(VLOOKUP(AH73,Schichten!$A$5:$G$24,4,FALSE())&lt;=VLOOKUP(AH73,Schichten!$A$5:$G$24,3,FALSE()),1,0))</f>
        <v>46456.9166666667</v>
      </c>
      <c r="AM73" s="28" t="n">
        <f aca="false">IF($A73="","",IF(N(AI72)&gt;0,AL72,AM72))</f>
        <v>46455.9166666667</v>
      </c>
      <c r="AN73" s="27" t="n">
        <f aca="false">IF(OR(AK73="",AM73=""),"",(AK73-AM73)*24)</f>
        <v>16</v>
      </c>
      <c r="AO73" s="21" t="n">
        <f aca="false">IF($A73="","",IF(N(AI73)&gt;0,N(AO72)+1,0))</f>
        <v>4</v>
      </c>
      <c r="AP73" s="21" t="n">
        <f aca="false">IF($A73="","",IF(N(AJ73)&gt;0,N(AP72)+1,0))</f>
        <v>0</v>
      </c>
      <c r="AQ73" s="21" t="str">
        <f aca="false">IF($A73="","",IF(WEEKDAY($A73,2)&lt;&gt;7,"",IF(AND(OR(AK73="",N(AK73)&gt;=$A73+16/24,N(AL73)&lt;=$A73+6/24),OR(AM73="",N(AM73)&lt;=$A73+6/24)),1,0)))</f>
        <v/>
      </c>
      <c r="AR73" s="26" t="str">
        <f aca="false">IF($A73="","",IF(INDEX(Muster!$C$10:$BF$10,1,MOD($A73-Einstellungen!$C$6,Einstellungen!$C$7)+1)="","-",INDEX(Muster!$C$10:$BF$10,1,MOD($A73-Einstellungen!$C$6,Einstellungen!$C$7)+1)))</f>
        <v>-</v>
      </c>
      <c r="AS73" s="27" t="n">
        <f aca="false">IF($A73="","",IFERROR(VLOOKUP(AR73,Schichten!$A$5:$G$24,6,FALSE()),0))</f>
        <v>0</v>
      </c>
      <c r="AT73" s="27" t="n">
        <f aca="false">IF($A73="","",IFERROR(VLOOKUP(AR73,Schichten!$A$5:$G$24,7,FALSE()),0))</f>
        <v>0</v>
      </c>
      <c r="AU73" s="28" t="str">
        <f aca="false">IF($A73="","",IF(N(AS73)=0,"",$A73+VLOOKUP(AR73,Schichten!$A$5:$G$24,3,FALSE())))</f>
        <v/>
      </c>
      <c r="AV73" s="28" t="str">
        <f aca="false">IF(AU73="","",$A73+VLOOKUP(AR73,Schichten!$A$5:$G$24,4,FALSE())+IF(VLOOKUP(AR73,Schichten!$A$5:$G$24,4,FALSE())&lt;=VLOOKUP(AR73,Schichten!$A$5:$G$24,3,FALSE()),1,0))</f>
        <v/>
      </c>
      <c r="AW73" s="28" t="str">
        <f aca="false">IF($A73="","",IF(N(AS72)&gt;0,AV72,AW72))</f>
        <v/>
      </c>
      <c r="AX73" s="27" t="str">
        <f aca="false">IF(OR(AU73="",AW73=""),"",(AU73-AW73)*24)</f>
        <v/>
      </c>
      <c r="AY73" s="21" t="n">
        <f aca="false">IF($A73="","",IF(N(AS73)&gt;0,N(AY72)+1,0))</f>
        <v>0</v>
      </c>
      <c r="AZ73" s="21" t="n">
        <f aca="false">IF($A73="","",IF(N(AT73)&gt;0,N(AZ72)+1,0))</f>
        <v>0</v>
      </c>
      <c r="BA73" s="21" t="str">
        <f aca="false">IF($A73="","",IF(WEEKDAY($A73,2)&lt;&gt;7,"",IF(AND(OR(AU73="",N(AU73)&gt;=$A73+16/24,N(AV73)&lt;=$A73+6/24),OR(AW73="",N(AW73)&lt;=$A73+6/24)),1,0)))</f>
        <v/>
      </c>
    </row>
    <row r="74" customFormat="false" ht="15" hidden="false" customHeight="false" outlineLevel="0" collapsed="false">
      <c r="A74" s="25" t="n">
        <f aca="false">IF(YEAR(DATE(Einstellungen!$C$4,1,1)+69)=Einstellungen!$C$4,DATE(Einstellungen!$C$4,1,1)+69,"")</f>
        <v>46457</v>
      </c>
      <c r="B74" s="26" t="str">
        <f aca="false">IF($A74="","",CHOOSE(WEEKDAY($A74,2),"Mo","Di","Mi","Do","Fr","Sa","So"))</f>
        <v>Do</v>
      </c>
      <c r="C74" s="26" t="n">
        <f aca="false">IF($A74="","",MONTH($A74))</f>
        <v>3</v>
      </c>
      <c r="D74" s="26" t="str">
        <f aca="false">IF($A74="","",IF(INDEX(Muster!$C$6:$BF$6,1,MOD($A74-Einstellungen!$C$6,Einstellungen!$C$7)+1)="","-",INDEX(Muster!$C$6:$BF$6,1,MOD($A74-Einstellungen!$C$6,Einstellungen!$C$7)+1)))</f>
        <v>S</v>
      </c>
      <c r="E74" s="27" t="n">
        <f aca="false">IF($A74="","",IFERROR(VLOOKUP(D74,Schichten!$A$5:$G$24,6,FALSE()),0))</f>
        <v>8</v>
      </c>
      <c r="F74" s="27" t="n">
        <f aca="false">IF($A74="","",IFERROR(VLOOKUP(D74,Schichten!$A$5:$G$24,7,FALSE()),0))</f>
        <v>0</v>
      </c>
      <c r="G74" s="28" t="n">
        <f aca="false">IF($A74="","",IF(N(E74)=0,"",$A74+VLOOKUP(D74,Schichten!$A$5:$G$24,3,FALSE())))</f>
        <v>46457.5833333333</v>
      </c>
      <c r="H74" s="28" t="n">
        <f aca="false">IF(G74="","",$A74+VLOOKUP(D74,Schichten!$A$5:$G$24,4,FALSE())+IF(VLOOKUP(D74,Schichten!$A$5:$G$24,4,FALSE())&lt;=VLOOKUP(D74,Schichten!$A$5:$G$24,3,FALSE()),1,0))</f>
        <v>46457.9166666667</v>
      </c>
      <c r="I74" s="28" t="n">
        <f aca="false">IF($A74="","",IF(N(E73)&gt;0,H73,I73))</f>
        <v>46456.5833333333</v>
      </c>
      <c r="J74" s="27" t="n">
        <f aca="false">IF(OR(G74="",I74=""),"",(G74-I74)*24)</f>
        <v>24</v>
      </c>
      <c r="K74" s="21" t="n">
        <f aca="false">IF($A74="","",IF(N(E74)&gt;0,N(K73)+1,0))</f>
        <v>3</v>
      </c>
      <c r="L74" s="21" t="n">
        <f aca="false">IF($A74="","",IF(N(F74)&gt;0,N(L73)+1,0))</f>
        <v>0</v>
      </c>
      <c r="M74" s="21" t="str">
        <f aca="false">IF($A74="","",IF(WEEKDAY($A74,2)&lt;&gt;7,"",IF(AND(OR(G74="",N(G74)&gt;=$A74+16/24,N(H74)&lt;=$A74+6/24),OR(I74="",N(I74)&lt;=$A74+6/24)),1,0)))</f>
        <v/>
      </c>
      <c r="N74" s="26" t="str">
        <f aca="false">IF($A74="","",IF(INDEX(Muster!$C$7:$BF$7,1,MOD($A74-Einstellungen!$C$6,Einstellungen!$C$7)+1)="","-",INDEX(Muster!$C$7:$BF$7,1,MOD($A74-Einstellungen!$C$6,Einstellungen!$C$7)+1)))</f>
        <v>F</v>
      </c>
      <c r="O74" s="27" t="n">
        <f aca="false">IF($A74="","",IFERROR(VLOOKUP(N74,Schichten!$A$5:$G$24,6,FALSE()),0))</f>
        <v>8</v>
      </c>
      <c r="P74" s="27" t="n">
        <f aca="false">IF($A74="","",IFERROR(VLOOKUP(N74,Schichten!$A$5:$G$24,7,FALSE()),0))</f>
        <v>0</v>
      </c>
      <c r="Q74" s="28" t="n">
        <f aca="false">IF($A74="","",IF(N(O74)=0,"",$A74+VLOOKUP(N74,Schichten!$A$5:$G$24,3,FALSE())))</f>
        <v>46457.25</v>
      </c>
      <c r="R74" s="28" t="n">
        <f aca="false">IF(Q74="","",$A74+VLOOKUP(N74,Schichten!$A$5:$G$24,4,FALSE())+IF(VLOOKUP(N74,Schichten!$A$5:$G$24,4,FALSE())&lt;=VLOOKUP(N74,Schichten!$A$5:$G$24,3,FALSE()),1,0))</f>
        <v>46457.5833333333</v>
      </c>
      <c r="S74" s="28" t="n">
        <f aca="false">IF($A74="","",IF(N(O73)&gt;0,R73,S73))</f>
        <v>46455.25</v>
      </c>
      <c r="T74" s="27" t="n">
        <f aca="false">IF(OR(Q74="",S74=""),"",(Q74-S74)*24)</f>
        <v>48</v>
      </c>
      <c r="U74" s="21" t="n">
        <f aca="false">IF($A74="","",IF(N(O74)&gt;0,N(U73)+1,0))</f>
        <v>1</v>
      </c>
      <c r="V74" s="21" t="n">
        <f aca="false">IF($A74="","",IF(N(P74)&gt;0,N(V73)+1,0))</f>
        <v>0</v>
      </c>
      <c r="W74" s="21" t="str">
        <f aca="false">IF($A74="","",IF(WEEKDAY($A74,2)&lt;&gt;7,"",IF(AND(OR(Q74="",N(Q74)&gt;=$A74+16/24,N(R74)&lt;=$A74+6/24),OR(S74="",N(S74)&lt;=$A74+6/24)),1,0)))</f>
        <v/>
      </c>
      <c r="X74" s="26" t="str">
        <f aca="false">IF($A74="","",IF(INDEX(Muster!$C$8:$BF$8,1,MOD($A74-Einstellungen!$C$6,Einstellungen!$C$7)+1)="","-",INDEX(Muster!$C$8:$BF$8,1,MOD($A74-Einstellungen!$C$6,Einstellungen!$C$7)+1)))</f>
        <v>-</v>
      </c>
      <c r="Y74" s="27" t="n">
        <f aca="false">IF($A74="","",IFERROR(VLOOKUP(X74,Schichten!$A$5:$G$24,6,FALSE()),0))</f>
        <v>0</v>
      </c>
      <c r="Z74" s="27" t="n">
        <f aca="false">IF($A74="","",IFERROR(VLOOKUP(X74,Schichten!$A$5:$G$24,7,FALSE()),0))</f>
        <v>0</v>
      </c>
      <c r="AA74" s="28" t="str">
        <f aca="false">IF($A74="","",IF(N(Y74)=0,"",$A74+VLOOKUP(X74,Schichten!$A$5:$G$24,3,FALSE())))</f>
        <v/>
      </c>
      <c r="AB74" s="28" t="str">
        <f aca="false">IF(AA74="","",$A74+VLOOKUP(X74,Schichten!$A$5:$G$24,4,FALSE())+IF(VLOOKUP(X74,Schichten!$A$5:$G$24,4,FALSE())&lt;=VLOOKUP(X74,Schichten!$A$5:$G$24,3,FALSE()),1,0))</f>
        <v/>
      </c>
      <c r="AC74" s="28" t="n">
        <f aca="false">IF($A74="","",IF(N(Y73)&gt;0,AB73,AC73))</f>
        <v>46457.25</v>
      </c>
      <c r="AD74" s="27" t="str">
        <f aca="false">IF(OR(AA74="",AC74=""),"",(AA74-AC74)*24)</f>
        <v/>
      </c>
      <c r="AE74" s="21" t="n">
        <f aca="false">IF($A74="","",IF(N(Y74)&gt;0,N(AE73)+1,0))</f>
        <v>0</v>
      </c>
      <c r="AF74" s="21" t="n">
        <f aca="false">IF($A74="","",IF(N(Z74)&gt;0,N(AF73)+1,0))</f>
        <v>0</v>
      </c>
      <c r="AG74" s="21" t="str">
        <f aca="false">IF($A74="","",IF(WEEKDAY($A74,2)&lt;&gt;7,"",IF(AND(OR(AA74="",N(AA74)&gt;=$A74+16/24,N(AB74)&lt;=$A74+6/24),OR(AC74="",N(AC74)&lt;=$A74+6/24)),1,0)))</f>
        <v/>
      </c>
      <c r="AH74" s="26" t="str">
        <f aca="false">IF($A74="","",IF(INDEX(Muster!$C$9:$BF$9,1,MOD($A74-Einstellungen!$C$6,Einstellungen!$C$7)+1)="","-",INDEX(Muster!$C$9:$BF$9,1,MOD($A74-Einstellungen!$C$6,Einstellungen!$C$7)+1)))</f>
        <v>N</v>
      </c>
      <c r="AI74" s="27" t="n">
        <f aca="false">IF($A74="","",IFERROR(VLOOKUP(AH74,Schichten!$A$5:$G$24,6,FALSE()),0))</f>
        <v>8</v>
      </c>
      <c r="AJ74" s="27" t="n">
        <f aca="false">IF($A74="","",IFERROR(VLOOKUP(AH74,Schichten!$A$5:$G$24,7,FALSE()),0))</f>
        <v>7</v>
      </c>
      <c r="AK74" s="28" t="n">
        <f aca="false">IF($A74="","",IF(N(AI74)=0,"",$A74+VLOOKUP(AH74,Schichten!$A$5:$G$24,3,FALSE())))</f>
        <v>46457.9166666667</v>
      </c>
      <c r="AL74" s="28" t="n">
        <f aca="false">IF(AK74="","",$A74+VLOOKUP(AH74,Schichten!$A$5:$G$24,4,FALSE())+IF(VLOOKUP(AH74,Schichten!$A$5:$G$24,4,FALSE())&lt;=VLOOKUP(AH74,Schichten!$A$5:$G$24,3,FALSE()),1,0))</f>
        <v>46458.25</v>
      </c>
      <c r="AM74" s="28" t="n">
        <f aca="false">IF($A74="","",IF(N(AI73)&gt;0,AL73,AM73))</f>
        <v>46456.9166666667</v>
      </c>
      <c r="AN74" s="27" t="n">
        <f aca="false">IF(OR(AK74="",AM74=""),"",(AK74-AM74)*24)</f>
        <v>24</v>
      </c>
      <c r="AO74" s="21" t="n">
        <f aca="false">IF($A74="","",IF(N(AI74)&gt;0,N(AO73)+1,0))</f>
        <v>5</v>
      </c>
      <c r="AP74" s="21" t="n">
        <f aca="false">IF($A74="","",IF(N(AJ74)&gt;0,N(AP73)+1,0))</f>
        <v>1</v>
      </c>
      <c r="AQ74" s="21" t="str">
        <f aca="false">IF($A74="","",IF(WEEKDAY($A74,2)&lt;&gt;7,"",IF(AND(OR(AK74="",N(AK74)&gt;=$A74+16/24,N(AL74)&lt;=$A74+6/24),OR(AM74="",N(AM74)&lt;=$A74+6/24)),1,0)))</f>
        <v/>
      </c>
      <c r="AR74" s="26" t="str">
        <f aca="false">IF($A74="","",IF(INDEX(Muster!$C$10:$BF$10,1,MOD($A74-Einstellungen!$C$6,Einstellungen!$C$7)+1)="","-",INDEX(Muster!$C$10:$BF$10,1,MOD($A74-Einstellungen!$C$6,Einstellungen!$C$7)+1)))</f>
        <v>-</v>
      </c>
      <c r="AS74" s="27" t="n">
        <f aca="false">IF($A74="","",IFERROR(VLOOKUP(AR74,Schichten!$A$5:$G$24,6,FALSE()),0))</f>
        <v>0</v>
      </c>
      <c r="AT74" s="27" t="n">
        <f aca="false">IF($A74="","",IFERROR(VLOOKUP(AR74,Schichten!$A$5:$G$24,7,FALSE()),0))</f>
        <v>0</v>
      </c>
      <c r="AU74" s="28" t="str">
        <f aca="false">IF($A74="","",IF(N(AS74)=0,"",$A74+VLOOKUP(AR74,Schichten!$A$5:$G$24,3,FALSE())))</f>
        <v/>
      </c>
      <c r="AV74" s="28" t="str">
        <f aca="false">IF(AU74="","",$A74+VLOOKUP(AR74,Schichten!$A$5:$G$24,4,FALSE())+IF(VLOOKUP(AR74,Schichten!$A$5:$G$24,4,FALSE())&lt;=VLOOKUP(AR74,Schichten!$A$5:$G$24,3,FALSE()),1,0))</f>
        <v/>
      </c>
      <c r="AW74" s="28" t="str">
        <f aca="false">IF($A74="","",IF(N(AS73)&gt;0,AV73,AW73))</f>
        <v/>
      </c>
      <c r="AX74" s="27" t="str">
        <f aca="false">IF(OR(AU74="",AW74=""),"",(AU74-AW74)*24)</f>
        <v/>
      </c>
      <c r="AY74" s="21" t="n">
        <f aca="false">IF($A74="","",IF(N(AS74)&gt;0,N(AY73)+1,0))</f>
        <v>0</v>
      </c>
      <c r="AZ74" s="21" t="n">
        <f aca="false">IF($A74="","",IF(N(AT74)&gt;0,N(AZ73)+1,0))</f>
        <v>0</v>
      </c>
      <c r="BA74" s="21" t="str">
        <f aca="false">IF($A74="","",IF(WEEKDAY($A74,2)&lt;&gt;7,"",IF(AND(OR(AU74="",N(AU74)&gt;=$A74+16/24,N(AV74)&lt;=$A74+6/24),OR(AW74="",N(AW74)&lt;=$A74+6/24)),1,0)))</f>
        <v/>
      </c>
    </row>
    <row r="75" customFormat="false" ht="15" hidden="false" customHeight="false" outlineLevel="0" collapsed="false">
      <c r="A75" s="25" t="n">
        <f aca="false">IF(YEAR(DATE(Einstellungen!$C$4,1,1)+70)=Einstellungen!$C$4,DATE(Einstellungen!$C$4,1,1)+70,"")</f>
        <v>46458</v>
      </c>
      <c r="B75" s="26" t="str">
        <f aca="false">IF($A75="","",CHOOSE(WEEKDAY($A75,2),"Mo","Di","Mi","Do","Fr","Sa","So"))</f>
        <v>Fr</v>
      </c>
      <c r="C75" s="26" t="n">
        <f aca="false">IF($A75="","",MONTH($A75))</f>
        <v>3</v>
      </c>
      <c r="D75" s="26" t="str">
        <f aca="false">IF($A75="","",IF(INDEX(Muster!$C$6:$BF$6,1,MOD($A75-Einstellungen!$C$6,Einstellungen!$C$7)+1)="","-",INDEX(Muster!$C$6:$BF$6,1,MOD($A75-Einstellungen!$C$6,Einstellungen!$C$7)+1)))</f>
        <v>S</v>
      </c>
      <c r="E75" s="27" t="n">
        <f aca="false">IF($A75="","",IFERROR(VLOOKUP(D75,Schichten!$A$5:$G$24,6,FALSE()),0))</f>
        <v>8</v>
      </c>
      <c r="F75" s="27" t="n">
        <f aca="false">IF($A75="","",IFERROR(VLOOKUP(D75,Schichten!$A$5:$G$24,7,FALSE()),0))</f>
        <v>0</v>
      </c>
      <c r="G75" s="28" t="n">
        <f aca="false">IF($A75="","",IF(N(E75)=0,"",$A75+VLOOKUP(D75,Schichten!$A$5:$G$24,3,FALSE())))</f>
        <v>46458.5833333333</v>
      </c>
      <c r="H75" s="28" t="n">
        <f aca="false">IF(G75="","",$A75+VLOOKUP(D75,Schichten!$A$5:$G$24,4,FALSE())+IF(VLOOKUP(D75,Schichten!$A$5:$G$24,4,FALSE())&lt;=VLOOKUP(D75,Schichten!$A$5:$G$24,3,FALSE()),1,0))</f>
        <v>46458.9166666667</v>
      </c>
      <c r="I75" s="28" t="n">
        <f aca="false">IF($A75="","",IF(N(E74)&gt;0,H74,I74))</f>
        <v>46457.9166666667</v>
      </c>
      <c r="J75" s="27" t="n">
        <f aca="false">IF(OR(G75="",I75=""),"",(G75-I75)*24)</f>
        <v>16</v>
      </c>
      <c r="K75" s="21" t="n">
        <f aca="false">IF($A75="","",IF(N(E75)&gt;0,N(K74)+1,0))</f>
        <v>4</v>
      </c>
      <c r="L75" s="21" t="n">
        <f aca="false">IF($A75="","",IF(N(F75)&gt;0,N(L74)+1,0))</f>
        <v>0</v>
      </c>
      <c r="M75" s="21" t="str">
        <f aca="false">IF($A75="","",IF(WEEKDAY($A75,2)&lt;&gt;7,"",IF(AND(OR(G75="",N(G75)&gt;=$A75+16/24,N(H75)&lt;=$A75+6/24),OR(I75="",N(I75)&lt;=$A75+6/24)),1,0)))</f>
        <v/>
      </c>
      <c r="N75" s="26" t="str">
        <f aca="false">IF($A75="","",IF(INDEX(Muster!$C$7:$BF$7,1,MOD($A75-Einstellungen!$C$6,Einstellungen!$C$7)+1)="","-",INDEX(Muster!$C$7:$BF$7,1,MOD($A75-Einstellungen!$C$6,Einstellungen!$C$7)+1)))</f>
        <v>F</v>
      </c>
      <c r="O75" s="27" t="n">
        <f aca="false">IF($A75="","",IFERROR(VLOOKUP(N75,Schichten!$A$5:$G$24,6,FALSE()),0))</f>
        <v>8</v>
      </c>
      <c r="P75" s="27" t="n">
        <f aca="false">IF($A75="","",IFERROR(VLOOKUP(N75,Schichten!$A$5:$G$24,7,FALSE()),0))</f>
        <v>0</v>
      </c>
      <c r="Q75" s="28" t="n">
        <f aca="false">IF($A75="","",IF(N(O75)=0,"",$A75+VLOOKUP(N75,Schichten!$A$5:$G$24,3,FALSE())))</f>
        <v>46458.25</v>
      </c>
      <c r="R75" s="28" t="n">
        <f aca="false">IF(Q75="","",$A75+VLOOKUP(N75,Schichten!$A$5:$G$24,4,FALSE())+IF(VLOOKUP(N75,Schichten!$A$5:$G$24,4,FALSE())&lt;=VLOOKUP(N75,Schichten!$A$5:$G$24,3,FALSE()),1,0))</f>
        <v>46458.5833333333</v>
      </c>
      <c r="S75" s="28" t="n">
        <f aca="false">IF($A75="","",IF(N(O74)&gt;0,R74,S74))</f>
        <v>46457.5833333333</v>
      </c>
      <c r="T75" s="27" t="n">
        <f aca="false">IF(OR(Q75="",S75=""),"",(Q75-S75)*24)</f>
        <v>16</v>
      </c>
      <c r="U75" s="21" t="n">
        <f aca="false">IF($A75="","",IF(N(O75)&gt;0,N(U74)+1,0))</f>
        <v>2</v>
      </c>
      <c r="V75" s="21" t="n">
        <f aca="false">IF($A75="","",IF(N(P75)&gt;0,N(V74)+1,0))</f>
        <v>0</v>
      </c>
      <c r="W75" s="21" t="str">
        <f aca="false">IF($A75="","",IF(WEEKDAY($A75,2)&lt;&gt;7,"",IF(AND(OR(Q75="",N(Q75)&gt;=$A75+16/24,N(R75)&lt;=$A75+6/24),OR(S75="",N(S75)&lt;=$A75+6/24)),1,0)))</f>
        <v/>
      </c>
      <c r="X75" s="26" t="str">
        <f aca="false">IF($A75="","",IF(INDEX(Muster!$C$8:$BF$8,1,MOD($A75-Einstellungen!$C$6,Einstellungen!$C$7)+1)="","-",INDEX(Muster!$C$8:$BF$8,1,MOD($A75-Einstellungen!$C$6,Einstellungen!$C$7)+1)))</f>
        <v>-</v>
      </c>
      <c r="Y75" s="27" t="n">
        <f aca="false">IF($A75="","",IFERROR(VLOOKUP(X75,Schichten!$A$5:$G$24,6,FALSE()),0))</f>
        <v>0</v>
      </c>
      <c r="Z75" s="27" t="n">
        <f aca="false">IF($A75="","",IFERROR(VLOOKUP(X75,Schichten!$A$5:$G$24,7,FALSE()),0))</f>
        <v>0</v>
      </c>
      <c r="AA75" s="28" t="str">
        <f aca="false">IF($A75="","",IF(N(Y75)=0,"",$A75+VLOOKUP(X75,Schichten!$A$5:$G$24,3,FALSE())))</f>
        <v/>
      </c>
      <c r="AB75" s="28" t="str">
        <f aca="false">IF(AA75="","",$A75+VLOOKUP(X75,Schichten!$A$5:$G$24,4,FALSE())+IF(VLOOKUP(X75,Schichten!$A$5:$G$24,4,FALSE())&lt;=VLOOKUP(X75,Schichten!$A$5:$G$24,3,FALSE()),1,0))</f>
        <v/>
      </c>
      <c r="AC75" s="28" t="n">
        <f aca="false">IF($A75="","",IF(N(Y74)&gt;0,AB74,AC74))</f>
        <v>46457.25</v>
      </c>
      <c r="AD75" s="27" t="str">
        <f aca="false">IF(OR(AA75="",AC75=""),"",(AA75-AC75)*24)</f>
        <v/>
      </c>
      <c r="AE75" s="21" t="n">
        <f aca="false">IF($A75="","",IF(N(Y75)&gt;0,N(AE74)+1,0))</f>
        <v>0</v>
      </c>
      <c r="AF75" s="21" t="n">
        <f aca="false">IF($A75="","",IF(N(Z75)&gt;0,N(AF74)+1,0))</f>
        <v>0</v>
      </c>
      <c r="AG75" s="21" t="str">
        <f aca="false">IF($A75="","",IF(WEEKDAY($A75,2)&lt;&gt;7,"",IF(AND(OR(AA75="",N(AA75)&gt;=$A75+16/24,N(AB75)&lt;=$A75+6/24),OR(AC75="",N(AC75)&lt;=$A75+6/24)),1,0)))</f>
        <v/>
      </c>
      <c r="AH75" s="26" t="str">
        <f aca="false">IF($A75="","",IF(INDEX(Muster!$C$9:$BF$9,1,MOD($A75-Einstellungen!$C$6,Einstellungen!$C$7)+1)="","-",INDEX(Muster!$C$9:$BF$9,1,MOD($A75-Einstellungen!$C$6,Einstellungen!$C$7)+1)))</f>
        <v>N</v>
      </c>
      <c r="AI75" s="27" t="n">
        <f aca="false">IF($A75="","",IFERROR(VLOOKUP(AH75,Schichten!$A$5:$G$24,6,FALSE()),0))</f>
        <v>8</v>
      </c>
      <c r="AJ75" s="27" t="n">
        <f aca="false">IF($A75="","",IFERROR(VLOOKUP(AH75,Schichten!$A$5:$G$24,7,FALSE()),0))</f>
        <v>7</v>
      </c>
      <c r="AK75" s="28" t="n">
        <f aca="false">IF($A75="","",IF(N(AI75)=0,"",$A75+VLOOKUP(AH75,Schichten!$A$5:$G$24,3,FALSE())))</f>
        <v>46458.9166666667</v>
      </c>
      <c r="AL75" s="28" t="n">
        <f aca="false">IF(AK75="","",$A75+VLOOKUP(AH75,Schichten!$A$5:$G$24,4,FALSE())+IF(VLOOKUP(AH75,Schichten!$A$5:$G$24,4,FALSE())&lt;=VLOOKUP(AH75,Schichten!$A$5:$G$24,3,FALSE()),1,0))</f>
        <v>46459.25</v>
      </c>
      <c r="AM75" s="28" t="n">
        <f aca="false">IF($A75="","",IF(N(AI74)&gt;0,AL74,AM74))</f>
        <v>46458.25</v>
      </c>
      <c r="AN75" s="27" t="n">
        <f aca="false">IF(OR(AK75="",AM75=""),"",(AK75-AM75)*24)</f>
        <v>16</v>
      </c>
      <c r="AO75" s="21" t="n">
        <f aca="false">IF($A75="","",IF(N(AI75)&gt;0,N(AO74)+1,0))</f>
        <v>6</v>
      </c>
      <c r="AP75" s="21" t="n">
        <f aca="false">IF($A75="","",IF(N(AJ75)&gt;0,N(AP74)+1,0))</f>
        <v>2</v>
      </c>
      <c r="AQ75" s="21" t="str">
        <f aca="false">IF($A75="","",IF(WEEKDAY($A75,2)&lt;&gt;7,"",IF(AND(OR(AK75="",N(AK75)&gt;=$A75+16/24,N(AL75)&lt;=$A75+6/24),OR(AM75="",N(AM75)&lt;=$A75+6/24)),1,0)))</f>
        <v/>
      </c>
      <c r="AR75" s="26" t="str">
        <f aca="false">IF($A75="","",IF(INDEX(Muster!$C$10:$BF$10,1,MOD($A75-Einstellungen!$C$6,Einstellungen!$C$7)+1)="","-",INDEX(Muster!$C$10:$BF$10,1,MOD($A75-Einstellungen!$C$6,Einstellungen!$C$7)+1)))</f>
        <v>-</v>
      </c>
      <c r="AS75" s="27" t="n">
        <f aca="false">IF($A75="","",IFERROR(VLOOKUP(AR75,Schichten!$A$5:$G$24,6,FALSE()),0))</f>
        <v>0</v>
      </c>
      <c r="AT75" s="27" t="n">
        <f aca="false">IF($A75="","",IFERROR(VLOOKUP(AR75,Schichten!$A$5:$G$24,7,FALSE()),0))</f>
        <v>0</v>
      </c>
      <c r="AU75" s="28" t="str">
        <f aca="false">IF($A75="","",IF(N(AS75)=0,"",$A75+VLOOKUP(AR75,Schichten!$A$5:$G$24,3,FALSE())))</f>
        <v/>
      </c>
      <c r="AV75" s="28" t="str">
        <f aca="false">IF(AU75="","",$A75+VLOOKUP(AR75,Schichten!$A$5:$G$24,4,FALSE())+IF(VLOOKUP(AR75,Schichten!$A$5:$G$24,4,FALSE())&lt;=VLOOKUP(AR75,Schichten!$A$5:$G$24,3,FALSE()),1,0))</f>
        <v/>
      </c>
      <c r="AW75" s="28" t="str">
        <f aca="false">IF($A75="","",IF(N(AS74)&gt;0,AV74,AW74))</f>
        <v/>
      </c>
      <c r="AX75" s="27" t="str">
        <f aca="false">IF(OR(AU75="",AW75=""),"",(AU75-AW75)*24)</f>
        <v/>
      </c>
      <c r="AY75" s="21" t="n">
        <f aca="false">IF($A75="","",IF(N(AS75)&gt;0,N(AY74)+1,0))</f>
        <v>0</v>
      </c>
      <c r="AZ75" s="21" t="n">
        <f aca="false">IF($A75="","",IF(N(AT75)&gt;0,N(AZ74)+1,0))</f>
        <v>0</v>
      </c>
      <c r="BA75" s="21" t="str">
        <f aca="false">IF($A75="","",IF(WEEKDAY($A75,2)&lt;&gt;7,"",IF(AND(OR(AU75="",N(AU75)&gt;=$A75+16/24,N(AV75)&lt;=$A75+6/24),OR(AW75="",N(AW75)&lt;=$A75+6/24)),1,0)))</f>
        <v/>
      </c>
    </row>
    <row r="76" customFormat="false" ht="15" hidden="false" customHeight="false" outlineLevel="0" collapsed="false">
      <c r="A76" s="25" t="n">
        <f aca="false">IF(YEAR(DATE(Einstellungen!$C$4,1,1)+71)=Einstellungen!$C$4,DATE(Einstellungen!$C$4,1,1)+71,"")</f>
        <v>46459</v>
      </c>
      <c r="B76" s="26" t="str">
        <f aca="false">IF($A76="","",CHOOSE(WEEKDAY($A76,2),"Mo","Di","Mi","Do","Fr","Sa","So"))</f>
        <v>Sa</v>
      </c>
      <c r="C76" s="26" t="n">
        <f aca="false">IF($A76="","",MONTH($A76))</f>
        <v>3</v>
      </c>
      <c r="D76" s="26" t="str">
        <f aca="false">IF($A76="","",IF(INDEX(Muster!$C$6:$BF$6,1,MOD($A76-Einstellungen!$C$6,Einstellungen!$C$7)+1)="","-",INDEX(Muster!$C$6:$BF$6,1,MOD($A76-Einstellungen!$C$6,Einstellungen!$C$7)+1)))</f>
        <v>N</v>
      </c>
      <c r="E76" s="27" t="n">
        <f aca="false">IF($A76="","",IFERROR(VLOOKUP(D76,Schichten!$A$5:$G$24,6,FALSE()),0))</f>
        <v>8</v>
      </c>
      <c r="F76" s="27" t="n">
        <f aca="false">IF($A76="","",IFERROR(VLOOKUP(D76,Schichten!$A$5:$G$24,7,FALSE()),0))</f>
        <v>7</v>
      </c>
      <c r="G76" s="28" t="n">
        <f aca="false">IF($A76="","",IF(N(E76)=0,"",$A76+VLOOKUP(D76,Schichten!$A$5:$G$24,3,FALSE())))</f>
        <v>46459.9166666667</v>
      </c>
      <c r="H76" s="28" t="n">
        <f aca="false">IF(G76="","",$A76+VLOOKUP(D76,Schichten!$A$5:$G$24,4,FALSE())+IF(VLOOKUP(D76,Schichten!$A$5:$G$24,4,FALSE())&lt;=VLOOKUP(D76,Schichten!$A$5:$G$24,3,FALSE()),1,0))</f>
        <v>46460.25</v>
      </c>
      <c r="I76" s="28" t="n">
        <f aca="false">IF($A76="","",IF(N(E75)&gt;0,H75,I75))</f>
        <v>46458.9166666667</v>
      </c>
      <c r="J76" s="27" t="n">
        <f aca="false">IF(OR(G76="",I76=""),"",(G76-I76)*24)</f>
        <v>24</v>
      </c>
      <c r="K76" s="21" t="n">
        <f aca="false">IF($A76="","",IF(N(E76)&gt;0,N(K75)+1,0))</f>
        <v>5</v>
      </c>
      <c r="L76" s="21" t="n">
        <f aca="false">IF($A76="","",IF(N(F76)&gt;0,N(L75)+1,0))</f>
        <v>1</v>
      </c>
      <c r="M76" s="21" t="str">
        <f aca="false">IF($A76="","",IF(WEEKDAY($A76,2)&lt;&gt;7,"",IF(AND(OR(G76="",N(G76)&gt;=$A76+16/24,N(H76)&lt;=$A76+6/24),OR(I76="",N(I76)&lt;=$A76+6/24)),1,0)))</f>
        <v/>
      </c>
      <c r="N76" s="26" t="str">
        <f aca="false">IF($A76="","",IF(INDEX(Muster!$C$7:$BF$7,1,MOD($A76-Einstellungen!$C$6,Einstellungen!$C$7)+1)="","-",INDEX(Muster!$C$7:$BF$7,1,MOD($A76-Einstellungen!$C$6,Einstellungen!$C$7)+1)))</f>
        <v>S</v>
      </c>
      <c r="O76" s="27" t="n">
        <f aca="false">IF($A76="","",IFERROR(VLOOKUP(N76,Schichten!$A$5:$G$24,6,FALSE()),0))</f>
        <v>8</v>
      </c>
      <c r="P76" s="27" t="n">
        <f aca="false">IF($A76="","",IFERROR(VLOOKUP(N76,Schichten!$A$5:$G$24,7,FALSE()),0))</f>
        <v>0</v>
      </c>
      <c r="Q76" s="28" t="n">
        <f aca="false">IF($A76="","",IF(N(O76)=0,"",$A76+VLOOKUP(N76,Schichten!$A$5:$G$24,3,FALSE())))</f>
        <v>46459.5833333333</v>
      </c>
      <c r="R76" s="28" t="n">
        <f aca="false">IF(Q76="","",$A76+VLOOKUP(N76,Schichten!$A$5:$G$24,4,FALSE())+IF(VLOOKUP(N76,Schichten!$A$5:$G$24,4,FALSE())&lt;=VLOOKUP(N76,Schichten!$A$5:$G$24,3,FALSE()),1,0))</f>
        <v>46459.9166666667</v>
      </c>
      <c r="S76" s="28" t="n">
        <f aca="false">IF($A76="","",IF(N(O75)&gt;0,R75,S75))</f>
        <v>46458.5833333333</v>
      </c>
      <c r="T76" s="27" t="n">
        <f aca="false">IF(OR(Q76="",S76=""),"",(Q76-S76)*24)</f>
        <v>24</v>
      </c>
      <c r="U76" s="21" t="n">
        <f aca="false">IF($A76="","",IF(N(O76)&gt;0,N(U75)+1,0))</f>
        <v>3</v>
      </c>
      <c r="V76" s="21" t="n">
        <f aca="false">IF($A76="","",IF(N(P76)&gt;0,N(V75)+1,0))</f>
        <v>0</v>
      </c>
      <c r="W76" s="21" t="str">
        <f aca="false">IF($A76="","",IF(WEEKDAY($A76,2)&lt;&gt;7,"",IF(AND(OR(Q76="",N(Q76)&gt;=$A76+16/24,N(R76)&lt;=$A76+6/24),OR(S76="",N(S76)&lt;=$A76+6/24)),1,0)))</f>
        <v/>
      </c>
      <c r="X76" s="26" t="str">
        <f aca="false">IF($A76="","",IF(INDEX(Muster!$C$8:$BF$8,1,MOD($A76-Einstellungen!$C$6,Einstellungen!$C$7)+1)="","-",INDEX(Muster!$C$8:$BF$8,1,MOD($A76-Einstellungen!$C$6,Einstellungen!$C$7)+1)))</f>
        <v>F</v>
      </c>
      <c r="Y76" s="27" t="n">
        <f aca="false">IF($A76="","",IFERROR(VLOOKUP(X76,Schichten!$A$5:$G$24,6,FALSE()),0))</f>
        <v>8</v>
      </c>
      <c r="Z76" s="27" t="n">
        <f aca="false">IF($A76="","",IFERROR(VLOOKUP(X76,Schichten!$A$5:$G$24,7,FALSE()),0))</f>
        <v>0</v>
      </c>
      <c r="AA76" s="28" t="n">
        <f aca="false">IF($A76="","",IF(N(Y76)=0,"",$A76+VLOOKUP(X76,Schichten!$A$5:$G$24,3,FALSE())))</f>
        <v>46459.25</v>
      </c>
      <c r="AB76" s="28" t="n">
        <f aca="false">IF(AA76="","",$A76+VLOOKUP(X76,Schichten!$A$5:$G$24,4,FALSE())+IF(VLOOKUP(X76,Schichten!$A$5:$G$24,4,FALSE())&lt;=VLOOKUP(X76,Schichten!$A$5:$G$24,3,FALSE()),1,0))</f>
        <v>46459.5833333333</v>
      </c>
      <c r="AC76" s="28" t="n">
        <f aca="false">IF($A76="","",IF(N(Y75)&gt;0,AB75,AC75))</f>
        <v>46457.25</v>
      </c>
      <c r="AD76" s="27" t="n">
        <f aca="false">IF(OR(AA76="",AC76=""),"",(AA76-AC76)*24)</f>
        <v>48</v>
      </c>
      <c r="AE76" s="21" t="n">
        <f aca="false">IF($A76="","",IF(N(Y76)&gt;0,N(AE75)+1,0))</f>
        <v>1</v>
      </c>
      <c r="AF76" s="21" t="n">
        <f aca="false">IF($A76="","",IF(N(Z76)&gt;0,N(AF75)+1,0))</f>
        <v>0</v>
      </c>
      <c r="AG76" s="21" t="str">
        <f aca="false">IF($A76="","",IF(WEEKDAY($A76,2)&lt;&gt;7,"",IF(AND(OR(AA76="",N(AA76)&gt;=$A76+16/24,N(AB76)&lt;=$A76+6/24),OR(AC76="",N(AC76)&lt;=$A76+6/24)),1,0)))</f>
        <v/>
      </c>
      <c r="AH76" s="26" t="str">
        <f aca="false">IF($A76="","",IF(INDEX(Muster!$C$9:$BF$9,1,MOD($A76-Einstellungen!$C$6,Einstellungen!$C$7)+1)="","-",INDEX(Muster!$C$9:$BF$9,1,MOD($A76-Einstellungen!$C$6,Einstellungen!$C$7)+1)))</f>
        <v>-</v>
      </c>
      <c r="AI76" s="27" t="n">
        <f aca="false">IF($A76="","",IFERROR(VLOOKUP(AH76,Schichten!$A$5:$G$24,6,FALSE()),0))</f>
        <v>0</v>
      </c>
      <c r="AJ76" s="27" t="n">
        <f aca="false">IF($A76="","",IFERROR(VLOOKUP(AH76,Schichten!$A$5:$G$24,7,FALSE()),0))</f>
        <v>0</v>
      </c>
      <c r="AK76" s="28" t="str">
        <f aca="false">IF($A76="","",IF(N(AI76)=0,"",$A76+VLOOKUP(AH76,Schichten!$A$5:$G$24,3,FALSE())))</f>
        <v/>
      </c>
      <c r="AL76" s="28" t="str">
        <f aca="false">IF(AK76="","",$A76+VLOOKUP(AH76,Schichten!$A$5:$G$24,4,FALSE())+IF(VLOOKUP(AH76,Schichten!$A$5:$G$24,4,FALSE())&lt;=VLOOKUP(AH76,Schichten!$A$5:$G$24,3,FALSE()),1,0))</f>
        <v/>
      </c>
      <c r="AM76" s="28" t="n">
        <f aca="false">IF($A76="","",IF(N(AI75)&gt;0,AL75,AM75))</f>
        <v>46459.25</v>
      </c>
      <c r="AN76" s="27" t="str">
        <f aca="false">IF(OR(AK76="",AM76=""),"",(AK76-AM76)*24)</f>
        <v/>
      </c>
      <c r="AO76" s="21" t="n">
        <f aca="false">IF($A76="","",IF(N(AI76)&gt;0,N(AO75)+1,0))</f>
        <v>0</v>
      </c>
      <c r="AP76" s="21" t="n">
        <f aca="false">IF($A76="","",IF(N(AJ76)&gt;0,N(AP75)+1,0))</f>
        <v>0</v>
      </c>
      <c r="AQ76" s="21" t="str">
        <f aca="false">IF($A76="","",IF(WEEKDAY($A76,2)&lt;&gt;7,"",IF(AND(OR(AK76="",N(AK76)&gt;=$A76+16/24,N(AL76)&lt;=$A76+6/24),OR(AM76="",N(AM76)&lt;=$A76+6/24)),1,0)))</f>
        <v/>
      </c>
      <c r="AR76" s="26" t="str">
        <f aca="false">IF($A76="","",IF(INDEX(Muster!$C$10:$BF$10,1,MOD($A76-Einstellungen!$C$6,Einstellungen!$C$7)+1)="","-",INDEX(Muster!$C$10:$BF$10,1,MOD($A76-Einstellungen!$C$6,Einstellungen!$C$7)+1)))</f>
        <v>-</v>
      </c>
      <c r="AS76" s="27" t="n">
        <f aca="false">IF($A76="","",IFERROR(VLOOKUP(AR76,Schichten!$A$5:$G$24,6,FALSE()),0))</f>
        <v>0</v>
      </c>
      <c r="AT76" s="27" t="n">
        <f aca="false">IF($A76="","",IFERROR(VLOOKUP(AR76,Schichten!$A$5:$G$24,7,FALSE()),0))</f>
        <v>0</v>
      </c>
      <c r="AU76" s="28" t="str">
        <f aca="false">IF($A76="","",IF(N(AS76)=0,"",$A76+VLOOKUP(AR76,Schichten!$A$5:$G$24,3,FALSE())))</f>
        <v/>
      </c>
      <c r="AV76" s="28" t="str">
        <f aca="false">IF(AU76="","",$A76+VLOOKUP(AR76,Schichten!$A$5:$G$24,4,FALSE())+IF(VLOOKUP(AR76,Schichten!$A$5:$G$24,4,FALSE())&lt;=VLOOKUP(AR76,Schichten!$A$5:$G$24,3,FALSE()),1,0))</f>
        <v/>
      </c>
      <c r="AW76" s="28" t="str">
        <f aca="false">IF($A76="","",IF(N(AS75)&gt;0,AV75,AW75))</f>
        <v/>
      </c>
      <c r="AX76" s="27" t="str">
        <f aca="false">IF(OR(AU76="",AW76=""),"",(AU76-AW76)*24)</f>
        <v/>
      </c>
      <c r="AY76" s="21" t="n">
        <f aca="false">IF($A76="","",IF(N(AS76)&gt;0,N(AY75)+1,0))</f>
        <v>0</v>
      </c>
      <c r="AZ76" s="21" t="n">
        <f aca="false">IF($A76="","",IF(N(AT76)&gt;0,N(AZ75)+1,0))</f>
        <v>0</v>
      </c>
      <c r="BA76" s="21" t="str">
        <f aca="false">IF($A76="","",IF(WEEKDAY($A76,2)&lt;&gt;7,"",IF(AND(OR(AU76="",N(AU76)&gt;=$A76+16/24,N(AV76)&lt;=$A76+6/24),OR(AW76="",N(AW76)&lt;=$A76+6/24)),1,0)))</f>
        <v/>
      </c>
    </row>
    <row r="77" customFormat="false" ht="15" hidden="false" customHeight="false" outlineLevel="0" collapsed="false">
      <c r="A77" s="25" t="n">
        <f aca="false">IF(YEAR(DATE(Einstellungen!$C$4,1,1)+72)=Einstellungen!$C$4,DATE(Einstellungen!$C$4,1,1)+72,"")</f>
        <v>46460</v>
      </c>
      <c r="B77" s="26" t="str">
        <f aca="false">IF($A77="","",CHOOSE(WEEKDAY($A77,2),"Mo","Di","Mi","Do","Fr","Sa","So"))</f>
        <v>So</v>
      </c>
      <c r="C77" s="26" t="n">
        <f aca="false">IF($A77="","",MONTH($A77))</f>
        <v>3</v>
      </c>
      <c r="D77" s="26" t="str">
        <f aca="false">IF($A77="","",IF(INDEX(Muster!$C$6:$BF$6,1,MOD($A77-Einstellungen!$C$6,Einstellungen!$C$7)+1)="","-",INDEX(Muster!$C$6:$BF$6,1,MOD($A77-Einstellungen!$C$6,Einstellungen!$C$7)+1)))</f>
        <v>N</v>
      </c>
      <c r="E77" s="27" t="n">
        <f aca="false">IF($A77="","",IFERROR(VLOOKUP(D77,Schichten!$A$5:$G$24,6,FALSE()),0))</f>
        <v>8</v>
      </c>
      <c r="F77" s="27" t="n">
        <f aca="false">IF($A77="","",IFERROR(VLOOKUP(D77,Schichten!$A$5:$G$24,7,FALSE()),0))</f>
        <v>7</v>
      </c>
      <c r="G77" s="28" t="n">
        <f aca="false">IF($A77="","",IF(N(E77)=0,"",$A77+VLOOKUP(D77,Schichten!$A$5:$G$24,3,FALSE())))</f>
        <v>46460.9166666667</v>
      </c>
      <c r="H77" s="28" t="n">
        <f aca="false">IF(G77="","",$A77+VLOOKUP(D77,Schichten!$A$5:$G$24,4,FALSE())+IF(VLOOKUP(D77,Schichten!$A$5:$G$24,4,FALSE())&lt;=VLOOKUP(D77,Schichten!$A$5:$G$24,3,FALSE()),1,0))</f>
        <v>46461.25</v>
      </c>
      <c r="I77" s="28" t="n">
        <f aca="false">IF($A77="","",IF(N(E76)&gt;0,H76,I76))</f>
        <v>46460.25</v>
      </c>
      <c r="J77" s="27" t="n">
        <f aca="false">IF(OR(G77="",I77=""),"",(G77-I77)*24)</f>
        <v>16</v>
      </c>
      <c r="K77" s="21" t="n">
        <f aca="false">IF($A77="","",IF(N(E77)&gt;0,N(K76)+1,0))</f>
        <v>6</v>
      </c>
      <c r="L77" s="21" t="n">
        <f aca="false">IF($A77="","",IF(N(F77)&gt;0,N(L76)+1,0))</f>
        <v>2</v>
      </c>
      <c r="M77" s="21" t="n">
        <f aca="false">IF($A77="","",IF(WEEKDAY($A77,2)&lt;&gt;7,"",IF(AND(OR(G77="",N(G77)&gt;=$A77+16/24,N(H77)&lt;=$A77+6/24),OR(I77="",N(I77)&lt;=$A77+6/24)),1,0)))</f>
        <v>1</v>
      </c>
      <c r="N77" s="26" t="str">
        <f aca="false">IF($A77="","",IF(INDEX(Muster!$C$7:$BF$7,1,MOD($A77-Einstellungen!$C$6,Einstellungen!$C$7)+1)="","-",INDEX(Muster!$C$7:$BF$7,1,MOD($A77-Einstellungen!$C$6,Einstellungen!$C$7)+1)))</f>
        <v>S</v>
      </c>
      <c r="O77" s="27" t="n">
        <f aca="false">IF($A77="","",IFERROR(VLOOKUP(N77,Schichten!$A$5:$G$24,6,FALSE()),0))</f>
        <v>8</v>
      </c>
      <c r="P77" s="27" t="n">
        <f aca="false">IF($A77="","",IFERROR(VLOOKUP(N77,Schichten!$A$5:$G$24,7,FALSE()),0))</f>
        <v>0</v>
      </c>
      <c r="Q77" s="28" t="n">
        <f aca="false">IF($A77="","",IF(N(O77)=0,"",$A77+VLOOKUP(N77,Schichten!$A$5:$G$24,3,FALSE())))</f>
        <v>46460.5833333333</v>
      </c>
      <c r="R77" s="28" t="n">
        <f aca="false">IF(Q77="","",$A77+VLOOKUP(N77,Schichten!$A$5:$G$24,4,FALSE())+IF(VLOOKUP(N77,Schichten!$A$5:$G$24,4,FALSE())&lt;=VLOOKUP(N77,Schichten!$A$5:$G$24,3,FALSE()),1,0))</f>
        <v>46460.9166666667</v>
      </c>
      <c r="S77" s="28" t="n">
        <f aca="false">IF($A77="","",IF(N(O76)&gt;0,R76,S76))</f>
        <v>46459.9166666667</v>
      </c>
      <c r="T77" s="27" t="n">
        <f aca="false">IF(OR(Q77="",S77=""),"",(Q77-S77)*24)</f>
        <v>16</v>
      </c>
      <c r="U77" s="21" t="n">
        <f aca="false">IF($A77="","",IF(N(O77)&gt;0,N(U76)+1,0))</f>
        <v>4</v>
      </c>
      <c r="V77" s="21" t="n">
        <f aca="false">IF($A77="","",IF(N(P77)&gt;0,N(V76)+1,0))</f>
        <v>0</v>
      </c>
      <c r="W77" s="21" t="n">
        <f aca="false">IF($A77="","",IF(WEEKDAY($A77,2)&lt;&gt;7,"",IF(AND(OR(Q77="",N(Q77)&gt;=$A77+16/24,N(R77)&lt;=$A77+6/24),OR(S77="",N(S77)&lt;=$A77+6/24)),1,0)))</f>
        <v>0</v>
      </c>
      <c r="X77" s="26" t="str">
        <f aca="false">IF($A77="","",IF(INDEX(Muster!$C$8:$BF$8,1,MOD($A77-Einstellungen!$C$6,Einstellungen!$C$7)+1)="","-",INDEX(Muster!$C$8:$BF$8,1,MOD($A77-Einstellungen!$C$6,Einstellungen!$C$7)+1)))</f>
        <v>F</v>
      </c>
      <c r="Y77" s="27" t="n">
        <f aca="false">IF($A77="","",IFERROR(VLOOKUP(X77,Schichten!$A$5:$G$24,6,FALSE()),0))</f>
        <v>8</v>
      </c>
      <c r="Z77" s="27" t="n">
        <f aca="false">IF($A77="","",IFERROR(VLOOKUP(X77,Schichten!$A$5:$G$24,7,FALSE()),0))</f>
        <v>0</v>
      </c>
      <c r="AA77" s="28" t="n">
        <f aca="false">IF($A77="","",IF(N(Y77)=0,"",$A77+VLOOKUP(X77,Schichten!$A$5:$G$24,3,FALSE())))</f>
        <v>46460.25</v>
      </c>
      <c r="AB77" s="28" t="n">
        <f aca="false">IF(AA77="","",$A77+VLOOKUP(X77,Schichten!$A$5:$G$24,4,FALSE())+IF(VLOOKUP(X77,Schichten!$A$5:$G$24,4,FALSE())&lt;=VLOOKUP(X77,Schichten!$A$5:$G$24,3,FALSE()),1,0))</f>
        <v>46460.5833333333</v>
      </c>
      <c r="AC77" s="28" t="n">
        <f aca="false">IF($A77="","",IF(N(Y76)&gt;0,AB76,AC76))</f>
        <v>46459.5833333333</v>
      </c>
      <c r="AD77" s="27" t="n">
        <f aca="false">IF(OR(AA77="",AC77=""),"",(AA77-AC77)*24)</f>
        <v>16</v>
      </c>
      <c r="AE77" s="21" t="n">
        <f aca="false">IF($A77="","",IF(N(Y77)&gt;0,N(AE76)+1,0))</f>
        <v>2</v>
      </c>
      <c r="AF77" s="21" t="n">
        <f aca="false">IF($A77="","",IF(N(Z77)&gt;0,N(AF76)+1,0))</f>
        <v>0</v>
      </c>
      <c r="AG77" s="21" t="n">
        <f aca="false">IF($A77="","",IF(WEEKDAY($A77,2)&lt;&gt;7,"",IF(AND(OR(AA77="",N(AA77)&gt;=$A77+16/24,N(AB77)&lt;=$A77+6/24),OR(AC77="",N(AC77)&lt;=$A77+6/24)),1,0)))</f>
        <v>0</v>
      </c>
      <c r="AH77" s="26" t="str">
        <f aca="false">IF($A77="","",IF(INDEX(Muster!$C$9:$BF$9,1,MOD($A77-Einstellungen!$C$6,Einstellungen!$C$7)+1)="","-",INDEX(Muster!$C$9:$BF$9,1,MOD($A77-Einstellungen!$C$6,Einstellungen!$C$7)+1)))</f>
        <v>-</v>
      </c>
      <c r="AI77" s="27" t="n">
        <f aca="false">IF($A77="","",IFERROR(VLOOKUP(AH77,Schichten!$A$5:$G$24,6,FALSE()),0))</f>
        <v>0</v>
      </c>
      <c r="AJ77" s="27" t="n">
        <f aca="false">IF($A77="","",IFERROR(VLOOKUP(AH77,Schichten!$A$5:$G$24,7,FALSE()),0))</f>
        <v>0</v>
      </c>
      <c r="AK77" s="28" t="str">
        <f aca="false">IF($A77="","",IF(N(AI77)=0,"",$A77+VLOOKUP(AH77,Schichten!$A$5:$G$24,3,FALSE())))</f>
        <v/>
      </c>
      <c r="AL77" s="28" t="str">
        <f aca="false">IF(AK77="","",$A77+VLOOKUP(AH77,Schichten!$A$5:$G$24,4,FALSE())+IF(VLOOKUP(AH77,Schichten!$A$5:$G$24,4,FALSE())&lt;=VLOOKUP(AH77,Schichten!$A$5:$G$24,3,FALSE()),1,0))</f>
        <v/>
      </c>
      <c r="AM77" s="28" t="n">
        <f aca="false">IF($A77="","",IF(N(AI76)&gt;0,AL76,AM76))</f>
        <v>46459.25</v>
      </c>
      <c r="AN77" s="27" t="str">
        <f aca="false">IF(OR(AK77="",AM77=""),"",(AK77-AM77)*24)</f>
        <v/>
      </c>
      <c r="AO77" s="21" t="n">
        <f aca="false">IF($A77="","",IF(N(AI77)&gt;0,N(AO76)+1,0))</f>
        <v>0</v>
      </c>
      <c r="AP77" s="21" t="n">
        <f aca="false">IF($A77="","",IF(N(AJ77)&gt;0,N(AP76)+1,0))</f>
        <v>0</v>
      </c>
      <c r="AQ77" s="21" t="n">
        <f aca="false">IF($A77="","",IF(WEEKDAY($A77,2)&lt;&gt;7,"",IF(AND(OR(AK77="",N(AK77)&gt;=$A77+16/24,N(AL77)&lt;=$A77+6/24),OR(AM77="",N(AM77)&lt;=$A77+6/24)),1,0)))</f>
        <v>1</v>
      </c>
      <c r="AR77" s="26" t="str">
        <f aca="false">IF($A77="","",IF(INDEX(Muster!$C$10:$BF$10,1,MOD($A77-Einstellungen!$C$6,Einstellungen!$C$7)+1)="","-",INDEX(Muster!$C$10:$BF$10,1,MOD($A77-Einstellungen!$C$6,Einstellungen!$C$7)+1)))</f>
        <v>-</v>
      </c>
      <c r="AS77" s="27" t="n">
        <f aca="false">IF($A77="","",IFERROR(VLOOKUP(AR77,Schichten!$A$5:$G$24,6,FALSE()),0))</f>
        <v>0</v>
      </c>
      <c r="AT77" s="27" t="n">
        <f aca="false">IF($A77="","",IFERROR(VLOOKUP(AR77,Schichten!$A$5:$G$24,7,FALSE()),0))</f>
        <v>0</v>
      </c>
      <c r="AU77" s="28" t="str">
        <f aca="false">IF($A77="","",IF(N(AS77)=0,"",$A77+VLOOKUP(AR77,Schichten!$A$5:$G$24,3,FALSE())))</f>
        <v/>
      </c>
      <c r="AV77" s="28" t="str">
        <f aca="false">IF(AU77="","",$A77+VLOOKUP(AR77,Schichten!$A$5:$G$24,4,FALSE())+IF(VLOOKUP(AR77,Schichten!$A$5:$G$24,4,FALSE())&lt;=VLOOKUP(AR77,Schichten!$A$5:$G$24,3,FALSE()),1,0))</f>
        <v/>
      </c>
      <c r="AW77" s="28" t="str">
        <f aca="false">IF($A77="","",IF(N(AS76)&gt;0,AV76,AW76))</f>
        <v/>
      </c>
      <c r="AX77" s="27" t="str">
        <f aca="false">IF(OR(AU77="",AW77=""),"",(AU77-AW77)*24)</f>
        <v/>
      </c>
      <c r="AY77" s="21" t="n">
        <f aca="false">IF($A77="","",IF(N(AS77)&gt;0,N(AY76)+1,0))</f>
        <v>0</v>
      </c>
      <c r="AZ77" s="21" t="n">
        <f aca="false">IF($A77="","",IF(N(AT77)&gt;0,N(AZ76)+1,0))</f>
        <v>0</v>
      </c>
      <c r="BA77" s="21" t="n">
        <f aca="false">IF($A77="","",IF(WEEKDAY($A77,2)&lt;&gt;7,"",IF(AND(OR(AU77="",N(AU77)&gt;=$A77+16/24,N(AV77)&lt;=$A77+6/24),OR(AW77="",N(AW77)&lt;=$A77+6/24)),1,0)))</f>
        <v>1</v>
      </c>
    </row>
    <row r="78" customFormat="false" ht="15" hidden="false" customHeight="false" outlineLevel="0" collapsed="false">
      <c r="A78" s="25" t="n">
        <f aca="false">IF(YEAR(DATE(Einstellungen!$C$4,1,1)+73)=Einstellungen!$C$4,DATE(Einstellungen!$C$4,1,1)+73,"")</f>
        <v>46461</v>
      </c>
      <c r="B78" s="26" t="str">
        <f aca="false">IF($A78="","",CHOOSE(WEEKDAY($A78,2),"Mo","Di","Mi","Do","Fr","Sa","So"))</f>
        <v>Mo</v>
      </c>
      <c r="C78" s="26" t="n">
        <f aca="false">IF($A78="","",MONTH($A78))</f>
        <v>3</v>
      </c>
      <c r="D78" s="26" t="str">
        <f aca="false">IF($A78="","",IF(INDEX(Muster!$C$6:$BF$6,1,MOD($A78-Einstellungen!$C$6,Einstellungen!$C$7)+1)="","-",INDEX(Muster!$C$6:$BF$6,1,MOD($A78-Einstellungen!$C$6,Einstellungen!$C$7)+1)))</f>
        <v>-</v>
      </c>
      <c r="E78" s="27" t="n">
        <f aca="false">IF($A78="","",IFERROR(VLOOKUP(D78,Schichten!$A$5:$G$24,6,FALSE()),0))</f>
        <v>0</v>
      </c>
      <c r="F78" s="27" t="n">
        <f aca="false">IF($A78="","",IFERROR(VLOOKUP(D78,Schichten!$A$5:$G$24,7,FALSE()),0))</f>
        <v>0</v>
      </c>
      <c r="G78" s="28" t="str">
        <f aca="false">IF($A78="","",IF(N(E78)=0,"",$A78+VLOOKUP(D78,Schichten!$A$5:$G$24,3,FALSE())))</f>
        <v/>
      </c>
      <c r="H78" s="28" t="str">
        <f aca="false">IF(G78="","",$A78+VLOOKUP(D78,Schichten!$A$5:$G$24,4,FALSE())+IF(VLOOKUP(D78,Schichten!$A$5:$G$24,4,FALSE())&lt;=VLOOKUP(D78,Schichten!$A$5:$G$24,3,FALSE()),1,0))</f>
        <v/>
      </c>
      <c r="I78" s="28" t="n">
        <f aca="false">IF($A78="","",IF(N(E77)&gt;0,H77,I77))</f>
        <v>46461.25</v>
      </c>
      <c r="J78" s="27" t="str">
        <f aca="false">IF(OR(G78="",I78=""),"",(G78-I78)*24)</f>
        <v/>
      </c>
      <c r="K78" s="21" t="n">
        <f aca="false">IF($A78="","",IF(N(E78)&gt;0,N(K77)+1,0))</f>
        <v>0</v>
      </c>
      <c r="L78" s="21" t="n">
        <f aca="false">IF($A78="","",IF(N(F78)&gt;0,N(L77)+1,0))</f>
        <v>0</v>
      </c>
      <c r="M78" s="21" t="str">
        <f aca="false">IF($A78="","",IF(WEEKDAY($A78,2)&lt;&gt;7,"",IF(AND(OR(G78="",N(G78)&gt;=$A78+16/24,N(H78)&lt;=$A78+6/24),OR(I78="",N(I78)&lt;=$A78+6/24)),1,0)))</f>
        <v/>
      </c>
      <c r="N78" s="26" t="str">
        <f aca="false">IF($A78="","",IF(INDEX(Muster!$C$7:$BF$7,1,MOD($A78-Einstellungen!$C$6,Einstellungen!$C$7)+1)="","-",INDEX(Muster!$C$7:$BF$7,1,MOD($A78-Einstellungen!$C$6,Einstellungen!$C$7)+1)))</f>
        <v>N</v>
      </c>
      <c r="O78" s="27" t="n">
        <f aca="false">IF($A78="","",IFERROR(VLOOKUP(N78,Schichten!$A$5:$G$24,6,FALSE()),0))</f>
        <v>8</v>
      </c>
      <c r="P78" s="27" t="n">
        <f aca="false">IF($A78="","",IFERROR(VLOOKUP(N78,Schichten!$A$5:$G$24,7,FALSE()),0))</f>
        <v>7</v>
      </c>
      <c r="Q78" s="28" t="n">
        <f aca="false">IF($A78="","",IF(N(O78)=0,"",$A78+VLOOKUP(N78,Schichten!$A$5:$G$24,3,FALSE())))</f>
        <v>46461.9166666667</v>
      </c>
      <c r="R78" s="28" t="n">
        <f aca="false">IF(Q78="","",$A78+VLOOKUP(N78,Schichten!$A$5:$G$24,4,FALSE())+IF(VLOOKUP(N78,Schichten!$A$5:$G$24,4,FALSE())&lt;=VLOOKUP(N78,Schichten!$A$5:$G$24,3,FALSE()),1,0))</f>
        <v>46462.25</v>
      </c>
      <c r="S78" s="28" t="n">
        <f aca="false">IF($A78="","",IF(N(O77)&gt;0,R77,S77))</f>
        <v>46460.9166666667</v>
      </c>
      <c r="T78" s="27" t="n">
        <f aca="false">IF(OR(Q78="",S78=""),"",(Q78-S78)*24)</f>
        <v>24</v>
      </c>
      <c r="U78" s="21" t="n">
        <f aca="false">IF($A78="","",IF(N(O78)&gt;0,N(U77)+1,0))</f>
        <v>5</v>
      </c>
      <c r="V78" s="21" t="n">
        <f aca="false">IF($A78="","",IF(N(P78)&gt;0,N(V77)+1,0))</f>
        <v>1</v>
      </c>
      <c r="W78" s="21" t="str">
        <f aca="false">IF($A78="","",IF(WEEKDAY($A78,2)&lt;&gt;7,"",IF(AND(OR(Q78="",N(Q78)&gt;=$A78+16/24,N(R78)&lt;=$A78+6/24),OR(S78="",N(S78)&lt;=$A78+6/24)),1,0)))</f>
        <v/>
      </c>
      <c r="X78" s="26" t="str">
        <f aca="false">IF($A78="","",IF(INDEX(Muster!$C$8:$BF$8,1,MOD($A78-Einstellungen!$C$6,Einstellungen!$C$7)+1)="","-",INDEX(Muster!$C$8:$BF$8,1,MOD($A78-Einstellungen!$C$6,Einstellungen!$C$7)+1)))</f>
        <v>S</v>
      </c>
      <c r="Y78" s="27" t="n">
        <f aca="false">IF($A78="","",IFERROR(VLOOKUP(X78,Schichten!$A$5:$G$24,6,FALSE()),0))</f>
        <v>8</v>
      </c>
      <c r="Z78" s="27" t="n">
        <f aca="false">IF($A78="","",IFERROR(VLOOKUP(X78,Schichten!$A$5:$G$24,7,FALSE()),0))</f>
        <v>0</v>
      </c>
      <c r="AA78" s="28" t="n">
        <f aca="false">IF($A78="","",IF(N(Y78)=0,"",$A78+VLOOKUP(X78,Schichten!$A$5:$G$24,3,FALSE())))</f>
        <v>46461.5833333333</v>
      </c>
      <c r="AB78" s="28" t="n">
        <f aca="false">IF(AA78="","",$A78+VLOOKUP(X78,Schichten!$A$5:$G$24,4,FALSE())+IF(VLOOKUP(X78,Schichten!$A$5:$G$24,4,FALSE())&lt;=VLOOKUP(X78,Schichten!$A$5:$G$24,3,FALSE()),1,0))</f>
        <v>46461.9166666667</v>
      </c>
      <c r="AC78" s="28" t="n">
        <f aca="false">IF($A78="","",IF(N(Y77)&gt;0,AB77,AC77))</f>
        <v>46460.5833333333</v>
      </c>
      <c r="AD78" s="27" t="n">
        <f aca="false">IF(OR(AA78="",AC78=""),"",(AA78-AC78)*24)</f>
        <v>24</v>
      </c>
      <c r="AE78" s="21" t="n">
        <f aca="false">IF($A78="","",IF(N(Y78)&gt;0,N(AE77)+1,0))</f>
        <v>3</v>
      </c>
      <c r="AF78" s="21" t="n">
        <f aca="false">IF($A78="","",IF(N(Z78)&gt;0,N(AF77)+1,0))</f>
        <v>0</v>
      </c>
      <c r="AG78" s="21" t="str">
        <f aca="false">IF($A78="","",IF(WEEKDAY($A78,2)&lt;&gt;7,"",IF(AND(OR(AA78="",N(AA78)&gt;=$A78+16/24,N(AB78)&lt;=$A78+6/24),OR(AC78="",N(AC78)&lt;=$A78+6/24)),1,0)))</f>
        <v/>
      </c>
      <c r="AH78" s="26" t="str">
        <f aca="false">IF($A78="","",IF(INDEX(Muster!$C$9:$BF$9,1,MOD($A78-Einstellungen!$C$6,Einstellungen!$C$7)+1)="","-",INDEX(Muster!$C$9:$BF$9,1,MOD($A78-Einstellungen!$C$6,Einstellungen!$C$7)+1)))</f>
        <v>F</v>
      </c>
      <c r="AI78" s="27" t="n">
        <f aca="false">IF($A78="","",IFERROR(VLOOKUP(AH78,Schichten!$A$5:$G$24,6,FALSE()),0))</f>
        <v>8</v>
      </c>
      <c r="AJ78" s="27" t="n">
        <f aca="false">IF($A78="","",IFERROR(VLOOKUP(AH78,Schichten!$A$5:$G$24,7,FALSE()),0))</f>
        <v>0</v>
      </c>
      <c r="AK78" s="28" t="n">
        <f aca="false">IF($A78="","",IF(N(AI78)=0,"",$A78+VLOOKUP(AH78,Schichten!$A$5:$G$24,3,FALSE())))</f>
        <v>46461.25</v>
      </c>
      <c r="AL78" s="28" t="n">
        <f aca="false">IF(AK78="","",$A78+VLOOKUP(AH78,Schichten!$A$5:$G$24,4,FALSE())+IF(VLOOKUP(AH78,Schichten!$A$5:$G$24,4,FALSE())&lt;=VLOOKUP(AH78,Schichten!$A$5:$G$24,3,FALSE()),1,0))</f>
        <v>46461.5833333333</v>
      </c>
      <c r="AM78" s="28" t="n">
        <f aca="false">IF($A78="","",IF(N(AI77)&gt;0,AL77,AM77))</f>
        <v>46459.25</v>
      </c>
      <c r="AN78" s="27" t="n">
        <f aca="false">IF(OR(AK78="",AM78=""),"",(AK78-AM78)*24)</f>
        <v>48</v>
      </c>
      <c r="AO78" s="21" t="n">
        <f aca="false">IF($A78="","",IF(N(AI78)&gt;0,N(AO77)+1,0))</f>
        <v>1</v>
      </c>
      <c r="AP78" s="21" t="n">
        <f aca="false">IF($A78="","",IF(N(AJ78)&gt;0,N(AP77)+1,0))</f>
        <v>0</v>
      </c>
      <c r="AQ78" s="21" t="str">
        <f aca="false">IF($A78="","",IF(WEEKDAY($A78,2)&lt;&gt;7,"",IF(AND(OR(AK78="",N(AK78)&gt;=$A78+16/24,N(AL78)&lt;=$A78+6/24),OR(AM78="",N(AM78)&lt;=$A78+6/24)),1,0)))</f>
        <v/>
      </c>
      <c r="AR78" s="26" t="str">
        <f aca="false">IF($A78="","",IF(INDEX(Muster!$C$10:$BF$10,1,MOD($A78-Einstellungen!$C$6,Einstellungen!$C$7)+1)="","-",INDEX(Muster!$C$10:$BF$10,1,MOD($A78-Einstellungen!$C$6,Einstellungen!$C$7)+1)))</f>
        <v>-</v>
      </c>
      <c r="AS78" s="27" t="n">
        <f aca="false">IF($A78="","",IFERROR(VLOOKUP(AR78,Schichten!$A$5:$G$24,6,FALSE()),0))</f>
        <v>0</v>
      </c>
      <c r="AT78" s="27" t="n">
        <f aca="false">IF($A78="","",IFERROR(VLOOKUP(AR78,Schichten!$A$5:$G$24,7,FALSE()),0))</f>
        <v>0</v>
      </c>
      <c r="AU78" s="28" t="str">
        <f aca="false">IF($A78="","",IF(N(AS78)=0,"",$A78+VLOOKUP(AR78,Schichten!$A$5:$G$24,3,FALSE())))</f>
        <v/>
      </c>
      <c r="AV78" s="28" t="str">
        <f aca="false">IF(AU78="","",$A78+VLOOKUP(AR78,Schichten!$A$5:$G$24,4,FALSE())+IF(VLOOKUP(AR78,Schichten!$A$5:$G$24,4,FALSE())&lt;=VLOOKUP(AR78,Schichten!$A$5:$G$24,3,FALSE()),1,0))</f>
        <v/>
      </c>
      <c r="AW78" s="28" t="str">
        <f aca="false">IF($A78="","",IF(N(AS77)&gt;0,AV77,AW77))</f>
        <v/>
      </c>
      <c r="AX78" s="27" t="str">
        <f aca="false">IF(OR(AU78="",AW78=""),"",(AU78-AW78)*24)</f>
        <v/>
      </c>
      <c r="AY78" s="21" t="n">
        <f aca="false">IF($A78="","",IF(N(AS78)&gt;0,N(AY77)+1,0))</f>
        <v>0</v>
      </c>
      <c r="AZ78" s="21" t="n">
        <f aca="false">IF($A78="","",IF(N(AT78)&gt;0,N(AZ77)+1,0))</f>
        <v>0</v>
      </c>
      <c r="BA78" s="21" t="str">
        <f aca="false">IF($A78="","",IF(WEEKDAY($A78,2)&lt;&gt;7,"",IF(AND(OR(AU78="",N(AU78)&gt;=$A78+16/24,N(AV78)&lt;=$A78+6/24),OR(AW78="",N(AW78)&lt;=$A78+6/24)),1,0)))</f>
        <v/>
      </c>
    </row>
    <row r="79" customFormat="false" ht="15" hidden="false" customHeight="false" outlineLevel="0" collapsed="false">
      <c r="A79" s="25" t="n">
        <f aca="false">IF(YEAR(DATE(Einstellungen!$C$4,1,1)+74)=Einstellungen!$C$4,DATE(Einstellungen!$C$4,1,1)+74,"")</f>
        <v>46462</v>
      </c>
      <c r="B79" s="26" t="str">
        <f aca="false">IF($A79="","",CHOOSE(WEEKDAY($A79,2),"Mo","Di","Mi","Do","Fr","Sa","So"))</f>
        <v>Di</v>
      </c>
      <c r="C79" s="26" t="n">
        <f aca="false">IF($A79="","",MONTH($A79))</f>
        <v>3</v>
      </c>
      <c r="D79" s="26" t="str">
        <f aca="false">IF($A79="","",IF(INDEX(Muster!$C$6:$BF$6,1,MOD($A79-Einstellungen!$C$6,Einstellungen!$C$7)+1)="","-",INDEX(Muster!$C$6:$BF$6,1,MOD($A79-Einstellungen!$C$6,Einstellungen!$C$7)+1)))</f>
        <v>-</v>
      </c>
      <c r="E79" s="27" t="n">
        <f aca="false">IF($A79="","",IFERROR(VLOOKUP(D79,Schichten!$A$5:$G$24,6,FALSE()),0))</f>
        <v>0</v>
      </c>
      <c r="F79" s="27" t="n">
        <f aca="false">IF($A79="","",IFERROR(VLOOKUP(D79,Schichten!$A$5:$G$24,7,FALSE()),0))</f>
        <v>0</v>
      </c>
      <c r="G79" s="28" t="str">
        <f aca="false">IF($A79="","",IF(N(E79)=0,"",$A79+VLOOKUP(D79,Schichten!$A$5:$G$24,3,FALSE())))</f>
        <v/>
      </c>
      <c r="H79" s="28" t="str">
        <f aca="false">IF(G79="","",$A79+VLOOKUP(D79,Schichten!$A$5:$G$24,4,FALSE())+IF(VLOOKUP(D79,Schichten!$A$5:$G$24,4,FALSE())&lt;=VLOOKUP(D79,Schichten!$A$5:$G$24,3,FALSE()),1,0))</f>
        <v/>
      </c>
      <c r="I79" s="28" t="n">
        <f aca="false">IF($A79="","",IF(N(E78)&gt;0,H78,I78))</f>
        <v>46461.25</v>
      </c>
      <c r="J79" s="27" t="str">
        <f aca="false">IF(OR(G79="",I79=""),"",(G79-I79)*24)</f>
        <v/>
      </c>
      <c r="K79" s="21" t="n">
        <f aca="false">IF($A79="","",IF(N(E79)&gt;0,N(K78)+1,0))</f>
        <v>0</v>
      </c>
      <c r="L79" s="21" t="n">
        <f aca="false">IF($A79="","",IF(N(F79)&gt;0,N(L78)+1,0))</f>
        <v>0</v>
      </c>
      <c r="M79" s="21" t="str">
        <f aca="false">IF($A79="","",IF(WEEKDAY($A79,2)&lt;&gt;7,"",IF(AND(OR(G79="",N(G79)&gt;=$A79+16/24,N(H79)&lt;=$A79+6/24),OR(I79="",N(I79)&lt;=$A79+6/24)),1,0)))</f>
        <v/>
      </c>
      <c r="N79" s="26" t="str">
        <f aca="false">IF($A79="","",IF(INDEX(Muster!$C$7:$BF$7,1,MOD($A79-Einstellungen!$C$6,Einstellungen!$C$7)+1)="","-",INDEX(Muster!$C$7:$BF$7,1,MOD($A79-Einstellungen!$C$6,Einstellungen!$C$7)+1)))</f>
        <v>N</v>
      </c>
      <c r="O79" s="27" t="n">
        <f aca="false">IF($A79="","",IFERROR(VLOOKUP(N79,Schichten!$A$5:$G$24,6,FALSE()),0))</f>
        <v>8</v>
      </c>
      <c r="P79" s="27" t="n">
        <f aca="false">IF($A79="","",IFERROR(VLOOKUP(N79,Schichten!$A$5:$G$24,7,FALSE()),0))</f>
        <v>7</v>
      </c>
      <c r="Q79" s="28" t="n">
        <f aca="false">IF($A79="","",IF(N(O79)=0,"",$A79+VLOOKUP(N79,Schichten!$A$5:$G$24,3,FALSE())))</f>
        <v>46462.9166666667</v>
      </c>
      <c r="R79" s="28" t="n">
        <f aca="false">IF(Q79="","",$A79+VLOOKUP(N79,Schichten!$A$5:$G$24,4,FALSE())+IF(VLOOKUP(N79,Schichten!$A$5:$G$24,4,FALSE())&lt;=VLOOKUP(N79,Schichten!$A$5:$G$24,3,FALSE()),1,0))</f>
        <v>46463.25</v>
      </c>
      <c r="S79" s="28" t="n">
        <f aca="false">IF($A79="","",IF(N(O78)&gt;0,R78,S78))</f>
        <v>46462.25</v>
      </c>
      <c r="T79" s="27" t="n">
        <f aca="false">IF(OR(Q79="",S79=""),"",(Q79-S79)*24)</f>
        <v>16</v>
      </c>
      <c r="U79" s="21" t="n">
        <f aca="false">IF($A79="","",IF(N(O79)&gt;0,N(U78)+1,0))</f>
        <v>6</v>
      </c>
      <c r="V79" s="21" t="n">
        <f aca="false">IF($A79="","",IF(N(P79)&gt;0,N(V78)+1,0))</f>
        <v>2</v>
      </c>
      <c r="W79" s="21" t="str">
        <f aca="false">IF($A79="","",IF(WEEKDAY($A79,2)&lt;&gt;7,"",IF(AND(OR(Q79="",N(Q79)&gt;=$A79+16/24,N(R79)&lt;=$A79+6/24),OR(S79="",N(S79)&lt;=$A79+6/24)),1,0)))</f>
        <v/>
      </c>
      <c r="X79" s="26" t="str">
        <f aca="false">IF($A79="","",IF(INDEX(Muster!$C$8:$BF$8,1,MOD($A79-Einstellungen!$C$6,Einstellungen!$C$7)+1)="","-",INDEX(Muster!$C$8:$BF$8,1,MOD($A79-Einstellungen!$C$6,Einstellungen!$C$7)+1)))</f>
        <v>S</v>
      </c>
      <c r="Y79" s="27" t="n">
        <f aca="false">IF($A79="","",IFERROR(VLOOKUP(X79,Schichten!$A$5:$G$24,6,FALSE()),0))</f>
        <v>8</v>
      </c>
      <c r="Z79" s="27" t="n">
        <f aca="false">IF($A79="","",IFERROR(VLOOKUP(X79,Schichten!$A$5:$G$24,7,FALSE()),0))</f>
        <v>0</v>
      </c>
      <c r="AA79" s="28" t="n">
        <f aca="false">IF($A79="","",IF(N(Y79)=0,"",$A79+VLOOKUP(X79,Schichten!$A$5:$G$24,3,FALSE())))</f>
        <v>46462.5833333333</v>
      </c>
      <c r="AB79" s="28" t="n">
        <f aca="false">IF(AA79="","",$A79+VLOOKUP(X79,Schichten!$A$5:$G$24,4,FALSE())+IF(VLOOKUP(X79,Schichten!$A$5:$G$24,4,FALSE())&lt;=VLOOKUP(X79,Schichten!$A$5:$G$24,3,FALSE()),1,0))</f>
        <v>46462.9166666667</v>
      </c>
      <c r="AC79" s="28" t="n">
        <f aca="false">IF($A79="","",IF(N(Y78)&gt;0,AB78,AC78))</f>
        <v>46461.9166666667</v>
      </c>
      <c r="AD79" s="27" t="n">
        <f aca="false">IF(OR(AA79="",AC79=""),"",(AA79-AC79)*24)</f>
        <v>16</v>
      </c>
      <c r="AE79" s="21" t="n">
        <f aca="false">IF($A79="","",IF(N(Y79)&gt;0,N(AE78)+1,0))</f>
        <v>4</v>
      </c>
      <c r="AF79" s="21" t="n">
        <f aca="false">IF($A79="","",IF(N(Z79)&gt;0,N(AF78)+1,0))</f>
        <v>0</v>
      </c>
      <c r="AG79" s="21" t="str">
        <f aca="false">IF($A79="","",IF(WEEKDAY($A79,2)&lt;&gt;7,"",IF(AND(OR(AA79="",N(AA79)&gt;=$A79+16/24,N(AB79)&lt;=$A79+6/24),OR(AC79="",N(AC79)&lt;=$A79+6/24)),1,0)))</f>
        <v/>
      </c>
      <c r="AH79" s="26" t="str">
        <f aca="false">IF($A79="","",IF(INDEX(Muster!$C$9:$BF$9,1,MOD($A79-Einstellungen!$C$6,Einstellungen!$C$7)+1)="","-",INDEX(Muster!$C$9:$BF$9,1,MOD($A79-Einstellungen!$C$6,Einstellungen!$C$7)+1)))</f>
        <v>F</v>
      </c>
      <c r="AI79" s="27" t="n">
        <f aca="false">IF($A79="","",IFERROR(VLOOKUP(AH79,Schichten!$A$5:$G$24,6,FALSE()),0))</f>
        <v>8</v>
      </c>
      <c r="AJ79" s="27" t="n">
        <f aca="false">IF($A79="","",IFERROR(VLOOKUP(AH79,Schichten!$A$5:$G$24,7,FALSE()),0))</f>
        <v>0</v>
      </c>
      <c r="AK79" s="28" t="n">
        <f aca="false">IF($A79="","",IF(N(AI79)=0,"",$A79+VLOOKUP(AH79,Schichten!$A$5:$G$24,3,FALSE())))</f>
        <v>46462.25</v>
      </c>
      <c r="AL79" s="28" t="n">
        <f aca="false">IF(AK79="","",$A79+VLOOKUP(AH79,Schichten!$A$5:$G$24,4,FALSE())+IF(VLOOKUP(AH79,Schichten!$A$5:$G$24,4,FALSE())&lt;=VLOOKUP(AH79,Schichten!$A$5:$G$24,3,FALSE()),1,0))</f>
        <v>46462.5833333333</v>
      </c>
      <c r="AM79" s="28" t="n">
        <f aca="false">IF($A79="","",IF(N(AI78)&gt;0,AL78,AM78))</f>
        <v>46461.5833333333</v>
      </c>
      <c r="AN79" s="27" t="n">
        <f aca="false">IF(OR(AK79="",AM79=""),"",(AK79-AM79)*24)</f>
        <v>16</v>
      </c>
      <c r="AO79" s="21" t="n">
        <f aca="false">IF($A79="","",IF(N(AI79)&gt;0,N(AO78)+1,0))</f>
        <v>2</v>
      </c>
      <c r="AP79" s="21" t="n">
        <f aca="false">IF($A79="","",IF(N(AJ79)&gt;0,N(AP78)+1,0))</f>
        <v>0</v>
      </c>
      <c r="AQ79" s="21" t="str">
        <f aca="false">IF($A79="","",IF(WEEKDAY($A79,2)&lt;&gt;7,"",IF(AND(OR(AK79="",N(AK79)&gt;=$A79+16/24,N(AL79)&lt;=$A79+6/24),OR(AM79="",N(AM79)&lt;=$A79+6/24)),1,0)))</f>
        <v/>
      </c>
      <c r="AR79" s="26" t="str">
        <f aca="false">IF($A79="","",IF(INDEX(Muster!$C$10:$BF$10,1,MOD($A79-Einstellungen!$C$6,Einstellungen!$C$7)+1)="","-",INDEX(Muster!$C$10:$BF$10,1,MOD($A79-Einstellungen!$C$6,Einstellungen!$C$7)+1)))</f>
        <v>-</v>
      </c>
      <c r="AS79" s="27" t="n">
        <f aca="false">IF($A79="","",IFERROR(VLOOKUP(AR79,Schichten!$A$5:$G$24,6,FALSE()),0))</f>
        <v>0</v>
      </c>
      <c r="AT79" s="27" t="n">
        <f aca="false">IF($A79="","",IFERROR(VLOOKUP(AR79,Schichten!$A$5:$G$24,7,FALSE()),0))</f>
        <v>0</v>
      </c>
      <c r="AU79" s="28" t="str">
        <f aca="false">IF($A79="","",IF(N(AS79)=0,"",$A79+VLOOKUP(AR79,Schichten!$A$5:$G$24,3,FALSE())))</f>
        <v/>
      </c>
      <c r="AV79" s="28" t="str">
        <f aca="false">IF(AU79="","",$A79+VLOOKUP(AR79,Schichten!$A$5:$G$24,4,FALSE())+IF(VLOOKUP(AR79,Schichten!$A$5:$G$24,4,FALSE())&lt;=VLOOKUP(AR79,Schichten!$A$5:$G$24,3,FALSE()),1,0))</f>
        <v/>
      </c>
      <c r="AW79" s="28" t="str">
        <f aca="false">IF($A79="","",IF(N(AS78)&gt;0,AV78,AW78))</f>
        <v/>
      </c>
      <c r="AX79" s="27" t="str">
        <f aca="false">IF(OR(AU79="",AW79=""),"",(AU79-AW79)*24)</f>
        <v/>
      </c>
      <c r="AY79" s="21" t="n">
        <f aca="false">IF($A79="","",IF(N(AS79)&gt;0,N(AY78)+1,0))</f>
        <v>0</v>
      </c>
      <c r="AZ79" s="21" t="n">
        <f aca="false">IF($A79="","",IF(N(AT79)&gt;0,N(AZ78)+1,0))</f>
        <v>0</v>
      </c>
      <c r="BA79" s="21" t="str">
        <f aca="false">IF($A79="","",IF(WEEKDAY($A79,2)&lt;&gt;7,"",IF(AND(OR(AU79="",N(AU79)&gt;=$A79+16/24,N(AV79)&lt;=$A79+6/24),OR(AW79="",N(AW79)&lt;=$A79+6/24)),1,0)))</f>
        <v/>
      </c>
    </row>
    <row r="80" customFormat="false" ht="15" hidden="false" customHeight="false" outlineLevel="0" collapsed="false">
      <c r="A80" s="25" t="n">
        <f aca="false">IF(YEAR(DATE(Einstellungen!$C$4,1,1)+75)=Einstellungen!$C$4,DATE(Einstellungen!$C$4,1,1)+75,"")</f>
        <v>46463</v>
      </c>
      <c r="B80" s="26" t="str">
        <f aca="false">IF($A80="","",CHOOSE(WEEKDAY($A80,2),"Mo","Di","Mi","Do","Fr","Sa","So"))</f>
        <v>Mi</v>
      </c>
      <c r="C80" s="26" t="n">
        <f aca="false">IF($A80="","",MONTH($A80))</f>
        <v>3</v>
      </c>
      <c r="D80" s="26" t="str">
        <f aca="false">IF($A80="","",IF(INDEX(Muster!$C$6:$BF$6,1,MOD($A80-Einstellungen!$C$6,Einstellungen!$C$7)+1)="","-",INDEX(Muster!$C$6:$BF$6,1,MOD($A80-Einstellungen!$C$6,Einstellungen!$C$7)+1)))</f>
        <v>F</v>
      </c>
      <c r="E80" s="27" t="n">
        <f aca="false">IF($A80="","",IFERROR(VLOOKUP(D80,Schichten!$A$5:$G$24,6,FALSE()),0))</f>
        <v>8</v>
      </c>
      <c r="F80" s="27" t="n">
        <f aca="false">IF($A80="","",IFERROR(VLOOKUP(D80,Schichten!$A$5:$G$24,7,FALSE()),0))</f>
        <v>0</v>
      </c>
      <c r="G80" s="28" t="n">
        <f aca="false">IF($A80="","",IF(N(E80)=0,"",$A80+VLOOKUP(D80,Schichten!$A$5:$G$24,3,FALSE())))</f>
        <v>46463.25</v>
      </c>
      <c r="H80" s="28" t="n">
        <f aca="false">IF(G80="","",$A80+VLOOKUP(D80,Schichten!$A$5:$G$24,4,FALSE())+IF(VLOOKUP(D80,Schichten!$A$5:$G$24,4,FALSE())&lt;=VLOOKUP(D80,Schichten!$A$5:$G$24,3,FALSE()),1,0))</f>
        <v>46463.5833333333</v>
      </c>
      <c r="I80" s="28" t="n">
        <f aca="false">IF($A80="","",IF(N(E79)&gt;0,H79,I79))</f>
        <v>46461.25</v>
      </c>
      <c r="J80" s="27" t="n">
        <f aca="false">IF(OR(G80="",I80=""),"",(G80-I80)*24)</f>
        <v>48</v>
      </c>
      <c r="K80" s="21" t="n">
        <f aca="false">IF($A80="","",IF(N(E80)&gt;0,N(K79)+1,0))</f>
        <v>1</v>
      </c>
      <c r="L80" s="21" t="n">
        <f aca="false">IF($A80="","",IF(N(F80)&gt;0,N(L79)+1,0))</f>
        <v>0</v>
      </c>
      <c r="M80" s="21" t="str">
        <f aca="false">IF($A80="","",IF(WEEKDAY($A80,2)&lt;&gt;7,"",IF(AND(OR(G80="",N(G80)&gt;=$A80+16/24,N(H80)&lt;=$A80+6/24),OR(I80="",N(I80)&lt;=$A80+6/24)),1,0)))</f>
        <v/>
      </c>
      <c r="N80" s="26" t="str">
        <f aca="false">IF($A80="","",IF(INDEX(Muster!$C$7:$BF$7,1,MOD($A80-Einstellungen!$C$6,Einstellungen!$C$7)+1)="","-",INDEX(Muster!$C$7:$BF$7,1,MOD($A80-Einstellungen!$C$6,Einstellungen!$C$7)+1)))</f>
        <v>-</v>
      </c>
      <c r="O80" s="27" t="n">
        <f aca="false">IF($A80="","",IFERROR(VLOOKUP(N80,Schichten!$A$5:$G$24,6,FALSE()),0))</f>
        <v>0</v>
      </c>
      <c r="P80" s="27" t="n">
        <f aca="false">IF($A80="","",IFERROR(VLOOKUP(N80,Schichten!$A$5:$G$24,7,FALSE()),0))</f>
        <v>0</v>
      </c>
      <c r="Q80" s="28" t="str">
        <f aca="false">IF($A80="","",IF(N(O80)=0,"",$A80+VLOOKUP(N80,Schichten!$A$5:$G$24,3,FALSE())))</f>
        <v/>
      </c>
      <c r="R80" s="28" t="str">
        <f aca="false">IF(Q80="","",$A80+VLOOKUP(N80,Schichten!$A$5:$G$24,4,FALSE())+IF(VLOOKUP(N80,Schichten!$A$5:$G$24,4,FALSE())&lt;=VLOOKUP(N80,Schichten!$A$5:$G$24,3,FALSE()),1,0))</f>
        <v/>
      </c>
      <c r="S80" s="28" t="n">
        <f aca="false">IF($A80="","",IF(N(O79)&gt;0,R79,S79))</f>
        <v>46463.25</v>
      </c>
      <c r="T80" s="27" t="str">
        <f aca="false">IF(OR(Q80="",S80=""),"",(Q80-S80)*24)</f>
        <v/>
      </c>
      <c r="U80" s="21" t="n">
        <f aca="false">IF($A80="","",IF(N(O80)&gt;0,N(U79)+1,0))</f>
        <v>0</v>
      </c>
      <c r="V80" s="21" t="n">
        <f aca="false">IF($A80="","",IF(N(P80)&gt;0,N(V79)+1,0))</f>
        <v>0</v>
      </c>
      <c r="W80" s="21" t="str">
        <f aca="false">IF($A80="","",IF(WEEKDAY($A80,2)&lt;&gt;7,"",IF(AND(OR(Q80="",N(Q80)&gt;=$A80+16/24,N(R80)&lt;=$A80+6/24),OR(S80="",N(S80)&lt;=$A80+6/24)),1,0)))</f>
        <v/>
      </c>
      <c r="X80" s="26" t="str">
        <f aca="false">IF($A80="","",IF(INDEX(Muster!$C$8:$BF$8,1,MOD($A80-Einstellungen!$C$6,Einstellungen!$C$7)+1)="","-",INDEX(Muster!$C$8:$BF$8,1,MOD($A80-Einstellungen!$C$6,Einstellungen!$C$7)+1)))</f>
        <v>N</v>
      </c>
      <c r="Y80" s="27" t="n">
        <f aca="false">IF($A80="","",IFERROR(VLOOKUP(X80,Schichten!$A$5:$G$24,6,FALSE()),0))</f>
        <v>8</v>
      </c>
      <c r="Z80" s="27" t="n">
        <f aca="false">IF($A80="","",IFERROR(VLOOKUP(X80,Schichten!$A$5:$G$24,7,FALSE()),0))</f>
        <v>7</v>
      </c>
      <c r="AA80" s="28" t="n">
        <f aca="false">IF($A80="","",IF(N(Y80)=0,"",$A80+VLOOKUP(X80,Schichten!$A$5:$G$24,3,FALSE())))</f>
        <v>46463.9166666667</v>
      </c>
      <c r="AB80" s="28" t="n">
        <f aca="false">IF(AA80="","",$A80+VLOOKUP(X80,Schichten!$A$5:$G$24,4,FALSE())+IF(VLOOKUP(X80,Schichten!$A$5:$G$24,4,FALSE())&lt;=VLOOKUP(X80,Schichten!$A$5:$G$24,3,FALSE()),1,0))</f>
        <v>46464.25</v>
      </c>
      <c r="AC80" s="28" t="n">
        <f aca="false">IF($A80="","",IF(N(Y79)&gt;0,AB79,AC79))</f>
        <v>46462.9166666667</v>
      </c>
      <c r="AD80" s="27" t="n">
        <f aca="false">IF(OR(AA80="",AC80=""),"",(AA80-AC80)*24)</f>
        <v>24</v>
      </c>
      <c r="AE80" s="21" t="n">
        <f aca="false">IF($A80="","",IF(N(Y80)&gt;0,N(AE79)+1,0))</f>
        <v>5</v>
      </c>
      <c r="AF80" s="21" t="n">
        <f aca="false">IF($A80="","",IF(N(Z80)&gt;0,N(AF79)+1,0))</f>
        <v>1</v>
      </c>
      <c r="AG80" s="21" t="str">
        <f aca="false">IF($A80="","",IF(WEEKDAY($A80,2)&lt;&gt;7,"",IF(AND(OR(AA80="",N(AA80)&gt;=$A80+16/24,N(AB80)&lt;=$A80+6/24),OR(AC80="",N(AC80)&lt;=$A80+6/24)),1,0)))</f>
        <v/>
      </c>
      <c r="AH80" s="26" t="str">
        <f aca="false">IF($A80="","",IF(INDEX(Muster!$C$9:$BF$9,1,MOD($A80-Einstellungen!$C$6,Einstellungen!$C$7)+1)="","-",INDEX(Muster!$C$9:$BF$9,1,MOD($A80-Einstellungen!$C$6,Einstellungen!$C$7)+1)))</f>
        <v>S</v>
      </c>
      <c r="AI80" s="27" t="n">
        <f aca="false">IF($A80="","",IFERROR(VLOOKUP(AH80,Schichten!$A$5:$G$24,6,FALSE()),0))</f>
        <v>8</v>
      </c>
      <c r="AJ80" s="27" t="n">
        <f aca="false">IF($A80="","",IFERROR(VLOOKUP(AH80,Schichten!$A$5:$G$24,7,FALSE()),0))</f>
        <v>0</v>
      </c>
      <c r="AK80" s="28" t="n">
        <f aca="false">IF($A80="","",IF(N(AI80)=0,"",$A80+VLOOKUP(AH80,Schichten!$A$5:$G$24,3,FALSE())))</f>
        <v>46463.5833333333</v>
      </c>
      <c r="AL80" s="28" t="n">
        <f aca="false">IF(AK80="","",$A80+VLOOKUP(AH80,Schichten!$A$5:$G$24,4,FALSE())+IF(VLOOKUP(AH80,Schichten!$A$5:$G$24,4,FALSE())&lt;=VLOOKUP(AH80,Schichten!$A$5:$G$24,3,FALSE()),1,0))</f>
        <v>46463.9166666667</v>
      </c>
      <c r="AM80" s="28" t="n">
        <f aca="false">IF($A80="","",IF(N(AI79)&gt;0,AL79,AM79))</f>
        <v>46462.5833333333</v>
      </c>
      <c r="AN80" s="27" t="n">
        <f aca="false">IF(OR(AK80="",AM80=""),"",(AK80-AM80)*24)</f>
        <v>24</v>
      </c>
      <c r="AO80" s="21" t="n">
        <f aca="false">IF($A80="","",IF(N(AI80)&gt;0,N(AO79)+1,0))</f>
        <v>3</v>
      </c>
      <c r="AP80" s="21" t="n">
        <f aca="false">IF($A80="","",IF(N(AJ80)&gt;0,N(AP79)+1,0))</f>
        <v>0</v>
      </c>
      <c r="AQ80" s="21" t="str">
        <f aca="false">IF($A80="","",IF(WEEKDAY($A80,2)&lt;&gt;7,"",IF(AND(OR(AK80="",N(AK80)&gt;=$A80+16/24,N(AL80)&lt;=$A80+6/24),OR(AM80="",N(AM80)&lt;=$A80+6/24)),1,0)))</f>
        <v/>
      </c>
      <c r="AR80" s="26" t="str">
        <f aca="false">IF($A80="","",IF(INDEX(Muster!$C$10:$BF$10,1,MOD($A80-Einstellungen!$C$6,Einstellungen!$C$7)+1)="","-",INDEX(Muster!$C$10:$BF$10,1,MOD($A80-Einstellungen!$C$6,Einstellungen!$C$7)+1)))</f>
        <v>-</v>
      </c>
      <c r="AS80" s="27" t="n">
        <f aca="false">IF($A80="","",IFERROR(VLOOKUP(AR80,Schichten!$A$5:$G$24,6,FALSE()),0))</f>
        <v>0</v>
      </c>
      <c r="AT80" s="27" t="n">
        <f aca="false">IF($A80="","",IFERROR(VLOOKUP(AR80,Schichten!$A$5:$G$24,7,FALSE()),0))</f>
        <v>0</v>
      </c>
      <c r="AU80" s="28" t="str">
        <f aca="false">IF($A80="","",IF(N(AS80)=0,"",$A80+VLOOKUP(AR80,Schichten!$A$5:$G$24,3,FALSE())))</f>
        <v/>
      </c>
      <c r="AV80" s="28" t="str">
        <f aca="false">IF(AU80="","",$A80+VLOOKUP(AR80,Schichten!$A$5:$G$24,4,FALSE())+IF(VLOOKUP(AR80,Schichten!$A$5:$G$24,4,FALSE())&lt;=VLOOKUP(AR80,Schichten!$A$5:$G$24,3,FALSE()),1,0))</f>
        <v/>
      </c>
      <c r="AW80" s="28" t="str">
        <f aca="false">IF($A80="","",IF(N(AS79)&gt;0,AV79,AW79))</f>
        <v/>
      </c>
      <c r="AX80" s="27" t="str">
        <f aca="false">IF(OR(AU80="",AW80=""),"",(AU80-AW80)*24)</f>
        <v/>
      </c>
      <c r="AY80" s="21" t="n">
        <f aca="false">IF($A80="","",IF(N(AS80)&gt;0,N(AY79)+1,0))</f>
        <v>0</v>
      </c>
      <c r="AZ80" s="21" t="n">
        <f aca="false">IF($A80="","",IF(N(AT80)&gt;0,N(AZ79)+1,0))</f>
        <v>0</v>
      </c>
      <c r="BA80" s="21" t="str">
        <f aca="false">IF($A80="","",IF(WEEKDAY($A80,2)&lt;&gt;7,"",IF(AND(OR(AU80="",N(AU80)&gt;=$A80+16/24,N(AV80)&lt;=$A80+6/24),OR(AW80="",N(AW80)&lt;=$A80+6/24)),1,0)))</f>
        <v/>
      </c>
    </row>
    <row r="81" customFormat="false" ht="15" hidden="false" customHeight="false" outlineLevel="0" collapsed="false">
      <c r="A81" s="25" t="n">
        <f aca="false">IF(YEAR(DATE(Einstellungen!$C$4,1,1)+76)=Einstellungen!$C$4,DATE(Einstellungen!$C$4,1,1)+76,"")</f>
        <v>46464</v>
      </c>
      <c r="B81" s="26" t="str">
        <f aca="false">IF($A81="","",CHOOSE(WEEKDAY($A81,2),"Mo","Di","Mi","Do","Fr","Sa","So"))</f>
        <v>Do</v>
      </c>
      <c r="C81" s="26" t="n">
        <f aca="false">IF($A81="","",MONTH($A81))</f>
        <v>3</v>
      </c>
      <c r="D81" s="26" t="str">
        <f aca="false">IF($A81="","",IF(INDEX(Muster!$C$6:$BF$6,1,MOD($A81-Einstellungen!$C$6,Einstellungen!$C$7)+1)="","-",INDEX(Muster!$C$6:$BF$6,1,MOD($A81-Einstellungen!$C$6,Einstellungen!$C$7)+1)))</f>
        <v>F</v>
      </c>
      <c r="E81" s="27" t="n">
        <f aca="false">IF($A81="","",IFERROR(VLOOKUP(D81,Schichten!$A$5:$G$24,6,FALSE()),0))</f>
        <v>8</v>
      </c>
      <c r="F81" s="27" t="n">
        <f aca="false">IF($A81="","",IFERROR(VLOOKUP(D81,Schichten!$A$5:$G$24,7,FALSE()),0))</f>
        <v>0</v>
      </c>
      <c r="G81" s="28" t="n">
        <f aca="false">IF($A81="","",IF(N(E81)=0,"",$A81+VLOOKUP(D81,Schichten!$A$5:$G$24,3,FALSE())))</f>
        <v>46464.25</v>
      </c>
      <c r="H81" s="28" t="n">
        <f aca="false">IF(G81="","",$A81+VLOOKUP(D81,Schichten!$A$5:$G$24,4,FALSE())+IF(VLOOKUP(D81,Schichten!$A$5:$G$24,4,FALSE())&lt;=VLOOKUP(D81,Schichten!$A$5:$G$24,3,FALSE()),1,0))</f>
        <v>46464.5833333333</v>
      </c>
      <c r="I81" s="28" t="n">
        <f aca="false">IF($A81="","",IF(N(E80)&gt;0,H80,I80))</f>
        <v>46463.5833333333</v>
      </c>
      <c r="J81" s="27" t="n">
        <f aca="false">IF(OR(G81="",I81=""),"",(G81-I81)*24)</f>
        <v>16</v>
      </c>
      <c r="K81" s="21" t="n">
        <f aca="false">IF($A81="","",IF(N(E81)&gt;0,N(K80)+1,0))</f>
        <v>2</v>
      </c>
      <c r="L81" s="21" t="n">
        <f aca="false">IF($A81="","",IF(N(F81)&gt;0,N(L80)+1,0))</f>
        <v>0</v>
      </c>
      <c r="M81" s="21" t="str">
        <f aca="false">IF($A81="","",IF(WEEKDAY($A81,2)&lt;&gt;7,"",IF(AND(OR(G81="",N(G81)&gt;=$A81+16/24,N(H81)&lt;=$A81+6/24),OR(I81="",N(I81)&lt;=$A81+6/24)),1,0)))</f>
        <v/>
      </c>
      <c r="N81" s="26" t="str">
        <f aca="false">IF($A81="","",IF(INDEX(Muster!$C$7:$BF$7,1,MOD($A81-Einstellungen!$C$6,Einstellungen!$C$7)+1)="","-",INDEX(Muster!$C$7:$BF$7,1,MOD($A81-Einstellungen!$C$6,Einstellungen!$C$7)+1)))</f>
        <v>-</v>
      </c>
      <c r="O81" s="27" t="n">
        <f aca="false">IF($A81="","",IFERROR(VLOOKUP(N81,Schichten!$A$5:$G$24,6,FALSE()),0))</f>
        <v>0</v>
      </c>
      <c r="P81" s="27" t="n">
        <f aca="false">IF($A81="","",IFERROR(VLOOKUP(N81,Schichten!$A$5:$G$24,7,FALSE()),0))</f>
        <v>0</v>
      </c>
      <c r="Q81" s="28" t="str">
        <f aca="false">IF($A81="","",IF(N(O81)=0,"",$A81+VLOOKUP(N81,Schichten!$A$5:$G$24,3,FALSE())))</f>
        <v/>
      </c>
      <c r="R81" s="28" t="str">
        <f aca="false">IF(Q81="","",$A81+VLOOKUP(N81,Schichten!$A$5:$G$24,4,FALSE())+IF(VLOOKUP(N81,Schichten!$A$5:$G$24,4,FALSE())&lt;=VLOOKUP(N81,Schichten!$A$5:$G$24,3,FALSE()),1,0))</f>
        <v/>
      </c>
      <c r="S81" s="28" t="n">
        <f aca="false">IF($A81="","",IF(N(O80)&gt;0,R80,S80))</f>
        <v>46463.25</v>
      </c>
      <c r="T81" s="27" t="str">
        <f aca="false">IF(OR(Q81="",S81=""),"",(Q81-S81)*24)</f>
        <v/>
      </c>
      <c r="U81" s="21" t="n">
        <f aca="false">IF($A81="","",IF(N(O81)&gt;0,N(U80)+1,0))</f>
        <v>0</v>
      </c>
      <c r="V81" s="21" t="n">
        <f aca="false">IF($A81="","",IF(N(P81)&gt;0,N(V80)+1,0))</f>
        <v>0</v>
      </c>
      <c r="W81" s="21" t="str">
        <f aca="false">IF($A81="","",IF(WEEKDAY($A81,2)&lt;&gt;7,"",IF(AND(OR(Q81="",N(Q81)&gt;=$A81+16/24,N(R81)&lt;=$A81+6/24),OR(S81="",N(S81)&lt;=$A81+6/24)),1,0)))</f>
        <v/>
      </c>
      <c r="X81" s="26" t="str">
        <f aca="false">IF($A81="","",IF(INDEX(Muster!$C$8:$BF$8,1,MOD($A81-Einstellungen!$C$6,Einstellungen!$C$7)+1)="","-",INDEX(Muster!$C$8:$BF$8,1,MOD($A81-Einstellungen!$C$6,Einstellungen!$C$7)+1)))</f>
        <v>N</v>
      </c>
      <c r="Y81" s="27" t="n">
        <f aca="false">IF($A81="","",IFERROR(VLOOKUP(X81,Schichten!$A$5:$G$24,6,FALSE()),0))</f>
        <v>8</v>
      </c>
      <c r="Z81" s="27" t="n">
        <f aca="false">IF($A81="","",IFERROR(VLOOKUP(X81,Schichten!$A$5:$G$24,7,FALSE()),0))</f>
        <v>7</v>
      </c>
      <c r="AA81" s="28" t="n">
        <f aca="false">IF($A81="","",IF(N(Y81)=0,"",$A81+VLOOKUP(X81,Schichten!$A$5:$G$24,3,FALSE())))</f>
        <v>46464.9166666667</v>
      </c>
      <c r="AB81" s="28" t="n">
        <f aca="false">IF(AA81="","",$A81+VLOOKUP(X81,Schichten!$A$5:$G$24,4,FALSE())+IF(VLOOKUP(X81,Schichten!$A$5:$G$24,4,FALSE())&lt;=VLOOKUP(X81,Schichten!$A$5:$G$24,3,FALSE()),1,0))</f>
        <v>46465.25</v>
      </c>
      <c r="AC81" s="28" t="n">
        <f aca="false">IF($A81="","",IF(N(Y80)&gt;0,AB80,AC80))</f>
        <v>46464.25</v>
      </c>
      <c r="AD81" s="27" t="n">
        <f aca="false">IF(OR(AA81="",AC81=""),"",(AA81-AC81)*24)</f>
        <v>16</v>
      </c>
      <c r="AE81" s="21" t="n">
        <f aca="false">IF($A81="","",IF(N(Y81)&gt;0,N(AE80)+1,0))</f>
        <v>6</v>
      </c>
      <c r="AF81" s="21" t="n">
        <f aca="false">IF($A81="","",IF(N(Z81)&gt;0,N(AF80)+1,0))</f>
        <v>2</v>
      </c>
      <c r="AG81" s="21" t="str">
        <f aca="false">IF($A81="","",IF(WEEKDAY($A81,2)&lt;&gt;7,"",IF(AND(OR(AA81="",N(AA81)&gt;=$A81+16/24,N(AB81)&lt;=$A81+6/24),OR(AC81="",N(AC81)&lt;=$A81+6/24)),1,0)))</f>
        <v/>
      </c>
      <c r="AH81" s="26" t="str">
        <f aca="false">IF($A81="","",IF(INDEX(Muster!$C$9:$BF$9,1,MOD($A81-Einstellungen!$C$6,Einstellungen!$C$7)+1)="","-",INDEX(Muster!$C$9:$BF$9,1,MOD($A81-Einstellungen!$C$6,Einstellungen!$C$7)+1)))</f>
        <v>S</v>
      </c>
      <c r="AI81" s="27" t="n">
        <f aca="false">IF($A81="","",IFERROR(VLOOKUP(AH81,Schichten!$A$5:$G$24,6,FALSE()),0))</f>
        <v>8</v>
      </c>
      <c r="AJ81" s="27" t="n">
        <f aca="false">IF($A81="","",IFERROR(VLOOKUP(AH81,Schichten!$A$5:$G$24,7,FALSE()),0))</f>
        <v>0</v>
      </c>
      <c r="AK81" s="28" t="n">
        <f aca="false">IF($A81="","",IF(N(AI81)=0,"",$A81+VLOOKUP(AH81,Schichten!$A$5:$G$24,3,FALSE())))</f>
        <v>46464.5833333333</v>
      </c>
      <c r="AL81" s="28" t="n">
        <f aca="false">IF(AK81="","",$A81+VLOOKUP(AH81,Schichten!$A$5:$G$24,4,FALSE())+IF(VLOOKUP(AH81,Schichten!$A$5:$G$24,4,FALSE())&lt;=VLOOKUP(AH81,Schichten!$A$5:$G$24,3,FALSE()),1,0))</f>
        <v>46464.9166666667</v>
      </c>
      <c r="AM81" s="28" t="n">
        <f aca="false">IF($A81="","",IF(N(AI80)&gt;0,AL80,AM80))</f>
        <v>46463.9166666667</v>
      </c>
      <c r="AN81" s="27" t="n">
        <f aca="false">IF(OR(AK81="",AM81=""),"",(AK81-AM81)*24)</f>
        <v>16</v>
      </c>
      <c r="AO81" s="21" t="n">
        <f aca="false">IF($A81="","",IF(N(AI81)&gt;0,N(AO80)+1,0))</f>
        <v>4</v>
      </c>
      <c r="AP81" s="21" t="n">
        <f aca="false">IF($A81="","",IF(N(AJ81)&gt;0,N(AP80)+1,0))</f>
        <v>0</v>
      </c>
      <c r="AQ81" s="21" t="str">
        <f aca="false">IF($A81="","",IF(WEEKDAY($A81,2)&lt;&gt;7,"",IF(AND(OR(AK81="",N(AK81)&gt;=$A81+16/24,N(AL81)&lt;=$A81+6/24),OR(AM81="",N(AM81)&lt;=$A81+6/24)),1,0)))</f>
        <v/>
      </c>
      <c r="AR81" s="26" t="str">
        <f aca="false">IF($A81="","",IF(INDEX(Muster!$C$10:$BF$10,1,MOD($A81-Einstellungen!$C$6,Einstellungen!$C$7)+1)="","-",INDEX(Muster!$C$10:$BF$10,1,MOD($A81-Einstellungen!$C$6,Einstellungen!$C$7)+1)))</f>
        <v>-</v>
      </c>
      <c r="AS81" s="27" t="n">
        <f aca="false">IF($A81="","",IFERROR(VLOOKUP(AR81,Schichten!$A$5:$G$24,6,FALSE()),0))</f>
        <v>0</v>
      </c>
      <c r="AT81" s="27" t="n">
        <f aca="false">IF($A81="","",IFERROR(VLOOKUP(AR81,Schichten!$A$5:$G$24,7,FALSE()),0))</f>
        <v>0</v>
      </c>
      <c r="AU81" s="28" t="str">
        <f aca="false">IF($A81="","",IF(N(AS81)=0,"",$A81+VLOOKUP(AR81,Schichten!$A$5:$G$24,3,FALSE())))</f>
        <v/>
      </c>
      <c r="AV81" s="28" t="str">
        <f aca="false">IF(AU81="","",$A81+VLOOKUP(AR81,Schichten!$A$5:$G$24,4,FALSE())+IF(VLOOKUP(AR81,Schichten!$A$5:$G$24,4,FALSE())&lt;=VLOOKUP(AR81,Schichten!$A$5:$G$24,3,FALSE()),1,0))</f>
        <v/>
      </c>
      <c r="AW81" s="28" t="str">
        <f aca="false">IF($A81="","",IF(N(AS80)&gt;0,AV80,AW80))</f>
        <v/>
      </c>
      <c r="AX81" s="27" t="str">
        <f aca="false">IF(OR(AU81="",AW81=""),"",(AU81-AW81)*24)</f>
        <v/>
      </c>
      <c r="AY81" s="21" t="n">
        <f aca="false">IF($A81="","",IF(N(AS81)&gt;0,N(AY80)+1,0))</f>
        <v>0</v>
      </c>
      <c r="AZ81" s="21" t="n">
        <f aca="false">IF($A81="","",IF(N(AT81)&gt;0,N(AZ80)+1,0))</f>
        <v>0</v>
      </c>
      <c r="BA81" s="21" t="str">
        <f aca="false">IF($A81="","",IF(WEEKDAY($A81,2)&lt;&gt;7,"",IF(AND(OR(AU81="",N(AU81)&gt;=$A81+16/24,N(AV81)&lt;=$A81+6/24),OR(AW81="",N(AW81)&lt;=$A81+6/24)),1,0)))</f>
        <v/>
      </c>
    </row>
    <row r="82" customFormat="false" ht="15" hidden="false" customHeight="false" outlineLevel="0" collapsed="false">
      <c r="A82" s="25" t="n">
        <f aca="false">IF(YEAR(DATE(Einstellungen!$C$4,1,1)+77)=Einstellungen!$C$4,DATE(Einstellungen!$C$4,1,1)+77,"")</f>
        <v>46465</v>
      </c>
      <c r="B82" s="26" t="str">
        <f aca="false">IF($A82="","",CHOOSE(WEEKDAY($A82,2),"Mo","Di","Mi","Do","Fr","Sa","So"))</f>
        <v>Fr</v>
      </c>
      <c r="C82" s="26" t="n">
        <f aca="false">IF($A82="","",MONTH($A82))</f>
        <v>3</v>
      </c>
      <c r="D82" s="26" t="str">
        <f aca="false">IF($A82="","",IF(INDEX(Muster!$C$6:$BF$6,1,MOD($A82-Einstellungen!$C$6,Einstellungen!$C$7)+1)="","-",INDEX(Muster!$C$6:$BF$6,1,MOD($A82-Einstellungen!$C$6,Einstellungen!$C$7)+1)))</f>
        <v>S</v>
      </c>
      <c r="E82" s="27" t="n">
        <f aca="false">IF($A82="","",IFERROR(VLOOKUP(D82,Schichten!$A$5:$G$24,6,FALSE()),0))</f>
        <v>8</v>
      </c>
      <c r="F82" s="27" t="n">
        <f aca="false">IF($A82="","",IFERROR(VLOOKUP(D82,Schichten!$A$5:$G$24,7,FALSE()),0))</f>
        <v>0</v>
      </c>
      <c r="G82" s="28" t="n">
        <f aca="false">IF($A82="","",IF(N(E82)=0,"",$A82+VLOOKUP(D82,Schichten!$A$5:$G$24,3,FALSE())))</f>
        <v>46465.5833333333</v>
      </c>
      <c r="H82" s="28" t="n">
        <f aca="false">IF(G82="","",$A82+VLOOKUP(D82,Schichten!$A$5:$G$24,4,FALSE())+IF(VLOOKUP(D82,Schichten!$A$5:$G$24,4,FALSE())&lt;=VLOOKUP(D82,Schichten!$A$5:$G$24,3,FALSE()),1,0))</f>
        <v>46465.9166666667</v>
      </c>
      <c r="I82" s="28" t="n">
        <f aca="false">IF($A82="","",IF(N(E81)&gt;0,H81,I81))</f>
        <v>46464.5833333333</v>
      </c>
      <c r="J82" s="27" t="n">
        <f aca="false">IF(OR(G82="",I82=""),"",(G82-I82)*24)</f>
        <v>24</v>
      </c>
      <c r="K82" s="21" t="n">
        <f aca="false">IF($A82="","",IF(N(E82)&gt;0,N(K81)+1,0))</f>
        <v>3</v>
      </c>
      <c r="L82" s="21" t="n">
        <f aca="false">IF($A82="","",IF(N(F82)&gt;0,N(L81)+1,0))</f>
        <v>0</v>
      </c>
      <c r="M82" s="21" t="str">
        <f aca="false">IF($A82="","",IF(WEEKDAY($A82,2)&lt;&gt;7,"",IF(AND(OR(G82="",N(G82)&gt;=$A82+16/24,N(H82)&lt;=$A82+6/24),OR(I82="",N(I82)&lt;=$A82+6/24)),1,0)))</f>
        <v/>
      </c>
      <c r="N82" s="26" t="str">
        <f aca="false">IF($A82="","",IF(INDEX(Muster!$C$7:$BF$7,1,MOD($A82-Einstellungen!$C$6,Einstellungen!$C$7)+1)="","-",INDEX(Muster!$C$7:$BF$7,1,MOD($A82-Einstellungen!$C$6,Einstellungen!$C$7)+1)))</f>
        <v>F</v>
      </c>
      <c r="O82" s="27" t="n">
        <f aca="false">IF($A82="","",IFERROR(VLOOKUP(N82,Schichten!$A$5:$G$24,6,FALSE()),0))</f>
        <v>8</v>
      </c>
      <c r="P82" s="27" t="n">
        <f aca="false">IF($A82="","",IFERROR(VLOOKUP(N82,Schichten!$A$5:$G$24,7,FALSE()),0))</f>
        <v>0</v>
      </c>
      <c r="Q82" s="28" t="n">
        <f aca="false">IF($A82="","",IF(N(O82)=0,"",$A82+VLOOKUP(N82,Schichten!$A$5:$G$24,3,FALSE())))</f>
        <v>46465.25</v>
      </c>
      <c r="R82" s="28" t="n">
        <f aca="false">IF(Q82="","",$A82+VLOOKUP(N82,Schichten!$A$5:$G$24,4,FALSE())+IF(VLOOKUP(N82,Schichten!$A$5:$G$24,4,FALSE())&lt;=VLOOKUP(N82,Schichten!$A$5:$G$24,3,FALSE()),1,0))</f>
        <v>46465.5833333333</v>
      </c>
      <c r="S82" s="28" t="n">
        <f aca="false">IF($A82="","",IF(N(O81)&gt;0,R81,S81))</f>
        <v>46463.25</v>
      </c>
      <c r="T82" s="27" t="n">
        <f aca="false">IF(OR(Q82="",S82=""),"",(Q82-S82)*24)</f>
        <v>48</v>
      </c>
      <c r="U82" s="21" t="n">
        <f aca="false">IF($A82="","",IF(N(O82)&gt;0,N(U81)+1,0))</f>
        <v>1</v>
      </c>
      <c r="V82" s="21" t="n">
        <f aca="false">IF($A82="","",IF(N(P82)&gt;0,N(V81)+1,0))</f>
        <v>0</v>
      </c>
      <c r="W82" s="21" t="str">
        <f aca="false">IF($A82="","",IF(WEEKDAY($A82,2)&lt;&gt;7,"",IF(AND(OR(Q82="",N(Q82)&gt;=$A82+16/24,N(R82)&lt;=$A82+6/24),OR(S82="",N(S82)&lt;=$A82+6/24)),1,0)))</f>
        <v/>
      </c>
      <c r="X82" s="26" t="str">
        <f aca="false">IF($A82="","",IF(INDEX(Muster!$C$8:$BF$8,1,MOD($A82-Einstellungen!$C$6,Einstellungen!$C$7)+1)="","-",INDEX(Muster!$C$8:$BF$8,1,MOD($A82-Einstellungen!$C$6,Einstellungen!$C$7)+1)))</f>
        <v>-</v>
      </c>
      <c r="Y82" s="27" t="n">
        <f aca="false">IF($A82="","",IFERROR(VLOOKUP(X82,Schichten!$A$5:$G$24,6,FALSE()),0))</f>
        <v>0</v>
      </c>
      <c r="Z82" s="27" t="n">
        <f aca="false">IF($A82="","",IFERROR(VLOOKUP(X82,Schichten!$A$5:$G$24,7,FALSE()),0))</f>
        <v>0</v>
      </c>
      <c r="AA82" s="28" t="str">
        <f aca="false">IF($A82="","",IF(N(Y82)=0,"",$A82+VLOOKUP(X82,Schichten!$A$5:$G$24,3,FALSE())))</f>
        <v/>
      </c>
      <c r="AB82" s="28" t="str">
        <f aca="false">IF(AA82="","",$A82+VLOOKUP(X82,Schichten!$A$5:$G$24,4,FALSE())+IF(VLOOKUP(X82,Schichten!$A$5:$G$24,4,FALSE())&lt;=VLOOKUP(X82,Schichten!$A$5:$G$24,3,FALSE()),1,0))</f>
        <v/>
      </c>
      <c r="AC82" s="28" t="n">
        <f aca="false">IF($A82="","",IF(N(Y81)&gt;0,AB81,AC81))</f>
        <v>46465.25</v>
      </c>
      <c r="AD82" s="27" t="str">
        <f aca="false">IF(OR(AA82="",AC82=""),"",(AA82-AC82)*24)</f>
        <v/>
      </c>
      <c r="AE82" s="21" t="n">
        <f aca="false">IF($A82="","",IF(N(Y82)&gt;0,N(AE81)+1,0))</f>
        <v>0</v>
      </c>
      <c r="AF82" s="21" t="n">
        <f aca="false">IF($A82="","",IF(N(Z82)&gt;0,N(AF81)+1,0))</f>
        <v>0</v>
      </c>
      <c r="AG82" s="21" t="str">
        <f aca="false">IF($A82="","",IF(WEEKDAY($A82,2)&lt;&gt;7,"",IF(AND(OR(AA82="",N(AA82)&gt;=$A82+16/24,N(AB82)&lt;=$A82+6/24),OR(AC82="",N(AC82)&lt;=$A82+6/24)),1,0)))</f>
        <v/>
      </c>
      <c r="AH82" s="26" t="str">
        <f aca="false">IF($A82="","",IF(INDEX(Muster!$C$9:$BF$9,1,MOD($A82-Einstellungen!$C$6,Einstellungen!$C$7)+1)="","-",INDEX(Muster!$C$9:$BF$9,1,MOD($A82-Einstellungen!$C$6,Einstellungen!$C$7)+1)))</f>
        <v>N</v>
      </c>
      <c r="AI82" s="27" t="n">
        <f aca="false">IF($A82="","",IFERROR(VLOOKUP(AH82,Schichten!$A$5:$G$24,6,FALSE()),0))</f>
        <v>8</v>
      </c>
      <c r="AJ82" s="27" t="n">
        <f aca="false">IF($A82="","",IFERROR(VLOOKUP(AH82,Schichten!$A$5:$G$24,7,FALSE()),0))</f>
        <v>7</v>
      </c>
      <c r="AK82" s="28" t="n">
        <f aca="false">IF($A82="","",IF(N(AI82)=0,"",$A82+VLOOKUP(AH82,Schichten!$A$5:$G$24,3,FALSE())))</f>
        <v>46465.9166666667</v>
      </c>
      <c r="AL82" s="28" t="n">
        <f aca="false">IF(AK82="","",$A82+VLOOKUP(AH82,Schichten!$A$5:$G$24,4,FALSE())+IF(VLOOKUP(AH82,Schichten!$A$5:$G$24,4,FALSE())&lt;=VLOOKUP(AH82,Schichten!$A$5:$G$24,3,FALSE()),1,0))</f>
        <v>46466.25</v>
      </c>
      <c r="AM82" s="28" t="n">
        <f aca="false">IF($A82="","",IF(N(AI81)&gt;0,AL81,AM81))</f>
        <v>46464.9166666667</v>
      </c>
      <c r="AN82" s="27" t="n">
        <f aca="false">IF(OR(AK82="",AM82=""),"",(AK82-AM82)*24)</f>
        <v>24</v>
      </c>
      <c r="AO82" s="21" t="n">
        <f aca="false">IF($A82="","",IF(N(AI82)&gt;0,N(AO81)+1,0))</f>
        <v>5</v>
      </c>
      <c r="AP82" s="21" t="n">
        <f aca="false">IF($A82="","",IF(N(AJ82)&gt;0,N(AP81)+1,0))</f>
        <v>1</v>
      </c>
      <c r="AQ82" s="21" t="str">
        <f aca="false">IF($A82="","",IF(WEEKDAY($A82,2)&lt;&gt;7,"",IF(AND(OR(AK82="",N(AK82)&gt;=$A82+16/24,N(AL82)&lt;=$A82+6/24),OR(AM82="",N(AM82)&lt;=$A82+6/24)),1,0)))</f>
        <v/>
      </c>
      <c r="AR82" s="26" t="str">
        <f aca="false">IF($A82="","",IF(INDEX(Muster!$C$10:$BF$10,1,MOD($A82-Einstellungen!$C$6,Einstellungen!$C$7)+1)="","-",INDEX(Muster!$C$10:$BF$10,1,MOD($A82-Einstellungen!$C$6,Einstellungen!$C$7)+1)))</f>
        <v>-</v>
      </c>
      <c r="AS82" s="27" t="n">
        <f aca="false">IF($A82="","",IFERROR(VLOOKUP(AR82,Schichten!$A$5:$G$24,6,FALSE()),0))</f>
        <v>0</v>
      </c>
      <c r="AT82" s="27" t="n">
        <f aca="false">IF($A82="","",IFERROR(VLOOKUP(AR82,Schichten!$A$5:$G$24,7,FALSE()),0))</f>
        <v>0</v>
      </c>
      <c r="AU82" s="28" t="str">
        <f aca="false">IF($A82="","",IF(N(AS82)=0,"",$A82+VLOOKUP(AR82,Schichten!$A$5:$G$24,3,FALSE())))</f>
        <v/>
      </c>
      <c r="AV82" s="28" t="str">
        <f aca="false">IF(AU82="","",$A82+VLOOKUP(AR82,Schichten!$A$5:$G$24,4,FALSE())+IF(VLOOKUP(AR82,Schichten!$A$5:$G$24,4,FALSE())&lt;=VLOOKUP(AR82,Schichten!$A$5:$G$24,3,FALSE()),1,0))</f>
        <v/>
      </c>
      <c r="AW82" s="28" t="str">
        <f aca="false">IF($A82="","",IF(N(AS81)&gt;0,AV81,AW81))</f>
        <v/>
      </c>
      <c r="AX82" s="27" t="str">
        <f aca="false">IF(OR(AU82="",AW82=""),"",(AU82-AW82)*24)</f>
        <v/>
      </c>
      <c r="AY82" s="21" t="n">
        <f aca="false">IF($A82="","",IF(N(AS82)&gt;0,N(AY81)+1,0))</f>
        <v>0</v>
      </c>
      <c r="AZ82" s="21" t="n">
        <f aca="false">IF($A82="","",IF(N(AT82)&gt;0,N(AZ81)+1,0))</f>
        <v>0</v>
      </c>
      <c r="BA82" s="21" t="str">
        <f aca="false">IF($A82="","",IF(WEEKDAY($A82,2)&lt;&gt;7,"",IF(AND(OR(AU82="",N(AU82)&gt;=$A82+16/24,N(AV82)&lt;=$A82+6/24),OR(AW82="",N(AW82)&lt;=$A82+6/24)),1,0)))</f>
        <v/>
      </c>
    </row>
    <row r="83" customFormat="false" ht="15" hidden="false" customHeight="false" outlineLevel="0" collapsed="false">
      <c r="A83" s="25" t="n">
        <f aca="false">IF(YEAR(DATE(Einstellungen!$C$4,1,1)+78)=Einstellungen!$C$4,DATE(Einstellungen!$C$4,1,1)+78,"")</f>
        <v>46466</v>
      </c>
      <c r="B83" s="26" t="str">
        <f aca="false">IF($A83="","",CHOOSE(WEEKDAY($A83,2),"Mo","Di","Mi","Do","Fr","Sa","So"))</f>
        <v>Sa</v>
      </c>
      <c r="C83" s="26" t="n">
        <f aca="false">IF($A83="","",MONTH($A83))</f>
        <v>3</v>
      </c>
      <c r="D83" s="26" t="str">
        <f aca="false">IF($A83="","",IF(INDEX(Muster!$C$6:$BF$6,1,MOD($A83-Einstellungen!$C$6,Einstellungen!$C$7)+1)="","-",INDEX(Muster!$C$6:$BF$6,1,MOD($A83-Einstellungen!$C$6,Einstellungen!$C$7)+1)))</f>
        <v>S</v>
      </c>
      <c r="E83" s="27" t="n">
        <f aca="false">IF($A83="","",IFERROR(VLOOKUP(D83,Schichten!$A$5:$G$24,6,FALSE()),0))</f>
        <v>8</v>
      </c>
      <c r="F83" s="27" t="n">
        <f aca="false">IF($A83="","",IFERROR(VLOOKUP(D83,Schichten!$A$5:$G$24,7,FALSE()),0))</f>
        <v>0</v>
      </c>
      <c r="G83" s="28" t="n">
        <f aca="false">IF($A83="","",IF(N(E83)=0,"",$A83+VLOOKUP(D83,Schichten!$A$5:$G$24,3,FALSE())))</f>
        <v>46466.5833333333</v>
      </c>
      <c r="H83" s="28" t="n">
        <f aca="false">IF(G83="","",$A83+VLOOKUP(D83,Schichten!$A$5:$G$24,4,FALSE())+IF(VLOOKUP(D83,Schichten!$A$5:$G$24,4,FALSE())&lt;=VLOOKUP(D83,Schichten!$A$5:$G$24,3,FALSE()),1,0))</f>
        <v>46466.9166666667</v>
      </c>
      <c r="I83" s="28" t="n">
        <f aca="false">IF($A83="","",IF(N(E82)&gt;0,H82,I82))</f>
        <v>46465.9166666667</v>
      </c>
      <c r="J83" s="27" t="n">
        <f aca="false">IF(OR(G83="",I83=""),"",(G83-I83)*24)</f>
        <v>16</v>
      </c>
      <c r="K83" s="21" t="n">
        <f aca="false">IF($A83="","",IF(N(E83)&gt;0,N(K82)+1,0))</f>
        <v>4</v>
      </c>
      <c r="L83" s="21" t="n">
        <f aca="false">IF($A83="","",IF(N(F83)&gt;0,N(L82)+1,0))</f>
        <v>0</v>
      </c>
      <c r="M83" s="21" t="str">
        <f aca="false">IF($A83="","",IF(WEEKDAY($A83,2)&lt;&gt;7,"",IF(AND(OR(G83="",N(G83)&gt;=$A83+16/24,N(H83)&lt;=$A83+6/24),OR(I83="",N(I83)&lt;=$A83+6/24)),1,0)))</f>
        <v/>
      </c>
      <c r="N83" s="26" t="str">
        <f aca="false">IF($A83="","",IF(INDEX(Muster!$C$7:$BF$7,1,MOD($A83-Einstellungen!$C$6,Einstellungen!$C$7)+1)="","-",INDEX(Muster!$C$7:$BF$7,1,MOD($A83-Einstellungen!$C$6,Einstellungen!$C$7)+1)))</f>
        <v>F</v>
      </c>
      <c r="O83" s="27" t="n">
        <f aca="false">IF($A83="","",IFERROR(VLOOKUP(N83,Schichten!$A$5:$G$24,6,FALSE()),0))</f>
        <v>8</v>
      </c>
      <c r="P83" s="27" t="n">
        <f aca="false">IF($A83="","",IFERROR(VLOOKUP(N83,Schichten!$A$5:$G$24,7,FALSE()),0))</f>
        <v>0</v>
      </c>
      <c r="Q83" s="28" t="n">
        <f aca="false">IF($A83="","",IF(N(O83)=0,"",$A83+VLOOKUP(N83,Schichten!$A$5:$G$24,3,FALSE())))</f>
        <v>46466.25</v>
      </c>
      <c r="R83" s="28" t="n">
        <f aca="false">IF(Q83="","",$A83+VLOOKUP(N83,Schichten!$A$5:$G$24,4,FALSE())+IF(VLOOKUP(N83,Schichten!$A$5:$G$24,4,FALSE())&lt;=VLOOKUP(N83,Schichten!$A$5:$G$24,3,FALSE()),1,0))</f>
        <v>46466.5833333333</v>
      </c>
      <c r="S83" s="28" t="n">
        <f aca="false">IF($A83="","",IF(N(O82)&gt;0,R82,S82))</f>
        <v>46465.5833333333</v>
      </c>
      <c r="T83" s="27" t="n">
        <f aca="false">IF(OR(Q83="",S83=""),"",(Q83-S83)*24)</f>
        <v>16</v>
      </c>
      <c r="U83" s="21" t="n">
        <f aca="false">IF($A83="","",IF(N(O83)&gt;0,N(U82)+1,0))</f>
        <v>2</v>
      </c>
      <c r="V83" s="21" t="n">
        <f aca="false">IF($A83="","",IF(N(P83)&gt;0,N(V82)+1,0))</f>
        <v>0</v>
      </c>
      <c r="W83" s="21" t="str">
        <f aca="false">IF($A83="","",IF(WEEKDAY($A83,2)&lt;&gt;7,"",IF(AND(OR(Q83="",N(Q83)&gt;=$A83+16/24,N(R83)&lt;=$A83+6/24),OR(S83="",N(S83)&lt;=$A83+6/24)),1,0)))</f>
        <v/>
      </c>
      <c r="X83" s="26" t="str">
        <f aca="false">IF($A83="","",IF(INDEX(Muster!$C$8:$BF$8,1,MOD($A83-Einstellungen!$C$6,Einstellungen!$C$7)+1)="","-",INDEX(Muster!$C$8:$BF$8,1,MOD($A83-Einstellungen!$C$6,Einstellungen!$C$7)+1)))</f>
        <v>-</v>
      </c>
      <c r="Y83" s="27" t="n">
        <f aca="false">IF($A83="","",IFERROR(VLOOKUP(X83,Schichten!$A$5:$G$24,6,FALSE()),0))</f>
        <v>0</v>
      </c>
      <c r="Z83" s="27" t="n">
        <f aca="false">IF($A83="","",IFERROR(VLOOKUP(X83,Schichten!$A$5:$G$24,7,FALSE()),0))</f>
        <v>0</v>
      </c>
      <c r="AA83" s="28" t="str">
        <f aca="false">IF($A83="","",IF(N(Y83)=0,"",$A83+VLOOKUP(X83,Schichten!$A$5:$G$24,3,FALSE())))</f>
        <v/>
      </c>
      <c r="AB83" s="28" t="str">
        <f aca="false">IF(AA83="","",$A83+VLOOKUP(X83,Schichten!$A$5:$G$24,4,FALSE())+IF(VLOOKUP(X83,Schichten!$A$5:$G$24,4,FALSE())&lt;=VLOOKUP(X83,Schichten!$A$5:$G$24,3,FALSE()),1,0))</f>
        <v/>
      </c>
      <c r="AC83" s="28" t="n">
        <f aca="false">IF($A83="","",IF(N(Y82)&gt;0,AB82,AC82))</f>
        <v>46465.25</v>
      </c>
      <c r="AD83" s="27" t="str">
        <f aca="false">IF(OR(AA83="",AC83=""),"",(AA83-AC83)*24)</f>
        <v/>
      </c>
      <c r="AE83" s="21" t="n">
        <f aca="false">IF($A83="","",IF(N(Y83)&gt;0,N(AE82)+1,0))</f>
        <v>0</v>
      </c>
      <c r="AF83" s="21" t="n">
        <f aca="false">IF($A83="","",IF(N(Z83)&gt;0,N(AF82)+1,0))</f>
        <v>0</v>
      </c>
      <c r="AG83" s="21" t="str">
        <f aca="false">IF($A83="","",IF(WEEKDAY($A83,2)&lt;&gt;7,"",IF(AND(OR(AA83="",N(AA83)&gt;=$A83+16/24,N(AB83)&lt;=$A83+6/24),OR(AC83="",N(AC83)&lt;=$A83+6/24)),1,0)))</f>
        <v/>
      </c>
      <c r="AH83" s="26" t="str">
        <f aca="false">IF($A83="","",IF(INDEX(Muster!$C$9:$BF$9,1,MOD($A83-Einstellungen!$C$6,Einstellungen!$C$7)+1)="","-",INDEX(Muster!$C$9:$BF$9,1,MOD($A83-Einstellungen!$C$6,Einstellungen!$C$7)+1)))</f>
        <v>N</v>
      </c>
      <c r="AI83" s="27" t="n">
        <f aca="false">IF($A83="","",IFERROR(VLOOKUP(AH83,Schichten!$A$5:$G$24,6,FALSE()),0))</f>
        <v>8</v>
      </c>
      <c r="AJ83" s="27" t="n">
        <f aca="false">IF($A83="","",IFERROR(VLOOKUP(AH83,Schichten!$A$5:$G$24,7,FALSE()),0))</f>
        <v>7</v>
      </c>
      <c r="AK83" s="28" t="n">
        <f aca="false">IF($A83="","",IF(N(AI83)=0,"",$A83+VLOOKUP(AH83,Schichten!$A$5:$G$24,3,FALSE())))</f>
        <v>46466.9166666667</v>
      </c>
      <c r="AL83" s="28" t="n">
        <f aca="false">IF(AK83="","",$A83+VLOOKUP(AH83,Schichten!$A$5:$G$24,4,FALSE())+IF(VLOOKUP(AH83,Schichten!$A$5:$G$24,4,FALSE())&lt;=VLOOKUP(AH83,Schichten!$A$5:$G$24,3,FALSE()),1,0))</f>
        <v>46467.25</v>
      </c>
      <c r="AM83" s="28" t="n">
        <f aca="false">IF($A83="","",IF(N(AI82)&gt;0,AL82,AM82))</f>
        <v>46466.25</v>
      </c>
      <c r="AN83" s="27" t="n">
        <f aca="false">IF(OR(AK83="",AM83=""),"",(AK83-AM83)*24)</f>
        <v>16</v>
      </c>
      <c r="AO83" s="21" t="n">
        <f aca="false">IF($A83="","",IF(N(AI83)&gt;0,N(AO82)+1,0))</f>
        <v>6</v>
      </c>
      <c r="AP83" s="21" t="n">
        <f aca="false">IF($A83="","",IF(N(AJ83)&gt;0,N(AP82)+1,0))</f>
        <v>2</v>
      </c>
      <c r="AQ83" s="21" t="str">
        <f aca="false">IF($A83="","",IF(WEEKDAY($A83,2)&lt;&gt;7,"",IF(AND(OR(AK83="",N(AK83)&gt;=$A83+16/24,N(AL83)&lt;=$A83+6/24),OR(AM83="",N(AM83)&lt;=$A83+6/24)),1,0)))</f>
        <v/>
      </c>
      <c r="AR83" s="26" t="str">
        <f aca="false">IF($A83="","",IF(INDEX(Muster!$C$10:$BF$10,1,MOD($A83-Einstellungen!$C$6,Einstellungen!$C$7)+1)="","-",INDEX(Muster!$C$10:$BF$10,1,MOD($A83-Einstellungen!$C$6,Einstellungen!$C$7)+1)))</f>
        <v>-</v>
      </c>
      <c r="AS83" s="27" t="n">
        <f aca="false">IF($A83="","",IFERROR(VLOOKUP(AR83,Schichten!$A$5:$G$24,6,FALSE()),0))</f>
        <v>0</v>
      </c>
      <c r="AT83" s="27" t="n">
        <f aca="false">IF($A83="","",IFERROR(VLOOKUP(AR83,Schichten!$A$5:$G$24,7,FALSE()),0))</f>
        <v>0</v>
      </c>
      <c r="AU83" s="28" t="str">
        <f aca="false">IF($A83="","",IF(N(AS83)=0,"",$A83+VLOOKUP(AR83,Schichten!$A$5:$G$24,3,FALSE())))</f>
        <v/>
      </c>
      <c r="AV83" s="28" t="str">
        <f aca="false">IF(AU83="","",$A83+VLOOKUP(AR83,Schichten!$A$5:$G$24,4,FALSE())+IF(VLOOKUP(AR83,Schichten!$A$5:$G$24,4,FALSE())&lt;=VLOOKUP(AR83,Schichten!$A$5:$G$24,3,FALSE()),1,0))</f>
        <v/>
      </c>
      <c r="AW83" s="28" t="str">
        <f aca="false">IF($A83="","",IF(N(AS82)&gt;0,AV82,AW82))</f>
        <v/>
      </c>
      <c r="AX83" s="27" t="str">
        <f aca="false">IF(OR(AU83="",AW83=""),"",(AU83-AW83)*24)</f>
        <v/>
      </c>
      <c r="AY83" s="21" t="n">
        <f aca="false">IF($A83="","",IF(N(AS83)&gt;0,N(AY82)+1,0))</f>
        <v>0</v>
      </c>
      <c r="AZ83" s="21" t="n">
        <f aca="false">IF($A83="","",IF(N(AT83)&gt;0,N(AZ82)+1,0))</f>
        <v>0</v>
      </c>
      <c r="BA83" s="21" t="str">
        <f aca="false">IF($A83="","",IF(WEEKDAY($A83,2)&lt;&gt;7,"",IF(AND(OR(AU83="",N(AU83)&gt;=$A83+16/24,N(AV83)&lt;=$A83+6/24),OR(AW83="",N(AW83)&lt;=$A83+6/24)),1,0)))</f>
        <v/>
      </c>
    </row>
    <row r="84" customFormat="false" ht="15" hidden="false" customHeight="false" outlineLevel="0" collapsed="false">
      <c r="A84" s="25" t="n">
        <f aca="false">IF(YEAR(DATE(Einstellungen!$C$4,1,1)+79)=Einstellungen!$C$4,DATE(Einstellungen!$C$4,1,1)+79,"")</f>
        <v>46467</v>
      </c>
      <c r="B84" s="26" t="str">
        <f aca="false">IF($A84="","",CHOOSE(WEEKDAY($A84,2),"Mo","Di","Mi","Do","Fr","Sa","So"))</f>
        <v>So</v>
      </c>
      <c r="C84" s="26" t="n">
        <f aca="false">IF($A84="","",MONTH($A84))</f>
        <v>3</v>
      </c>
      <c r="D84" s="26" t="str">
        <f aca="false">IF($A84="","",IF(INDEX(Muster!$C$6:$BF$6,1,MOD($A84-Einstellungen!$C$6,Einstellungen!$C$7)+1)="","-",INDEX(Muster!$C$6:$BF$6,1,MOD($A84-Einstellungen!$C$6,Einstellungen!$C$7)+1)))</f>
        <v>N</v>
      </c>
      <c r="E84" s="27" t="n">
        <f aca="false">IF($A84="","",IFERROR(VLOOKUP(D84,Schichten!$A$5:$G$24,6,FALSE()),0))</f>
        <v>8</v>
      </c>
      <c r="F84" s="27" t="n">
        <f aca="false">IF($A84="","",IFERROR(VLOOKUP(D84,Schichten!$A$5:$G$24,7,FALSE()),0))</f>
        <v>7</v>
      </c>
      <c r="G84" s="28" t="n">
        <f aca="false">IF($A84="","",IF(N(E84)=0,"",$A84+VLOOKUP(D84,Schichten!$A$5:$G$24,3,FALSE())))</f>
        <v>46467.9166666667</v>
      </c>
      <c r="H84" s="28" t="n">
        <f aca="false">IF(G84="","",$A84+VLOOKUP(D84,Schichten!$A$5:$G$24,4,FALSE())+IF(VLOOKUP(D84,Schichten!$A$5:$G$24,4,FALSE())&lt;=VLOOKUP(D84,Schichten!$A$5:$G$24,3,FALSE()),1,0))</f>
        <v>46468.25</v>
      </c>
      <c r="I84" s="28" t="n">
        <f aca="false">IF($A84="","",IF(N(E83)&gt;0,H83,I83))</f>
        <v>46466.9166666667</v>
      </c>
      <c r="J84" s="27" t="n">
        <f aca="false">IF(OR(G84="",I84=""),"",(G84-I84)*24)</f>
        <v>24</v>
      </c>
      <c r="K84" s="21" t="n">
        <f aca="false">IF($A84="","",IF(N(E84)&gt;0,N(K83)+1,0))</f>
        <v>5</v>
      </c>
      <c r="L84" s="21" t="n">
        <f aca="false">IF($A84="","",IF(N(F84)&gt;0,N(L83)+1,0))</f>
        <v>1</v>
      </c>
      <c r="M84" s="21" t="n">
        <f aca="false">IF($A84="","",IF(WEEKDAY($A84,2)&lt;&gt;7,"",IF(AND(OR(G84="",N(G84)&gt;=$A84+16/24,N(H84)&lt;=$A84+6/24),OR(I84="",N(I84)&lt;=$A84+6/24)),1,0)))</f>
        <v>1</v>
      </c>
      <c r="N84" s="26" t="str">
        <f aca="false">IF($A84="","",IF(INDEX(Muster!$C$7:$BF$7,1,MOD($A84-Einstellungen!$C$6,Einstellungen!$C$7)+1)="","-",INDEX(Muster!$C$7:$BF$7,1,MOD($A84-Einstellungen!$C$6,Einstellungen!$C$7)+1)))</f>
        <v>S</v>
      </c>
      <c r="O84" s="27" t="n">
        <f aca="false">IF($A84="","",IFERROR(VLOOKUP(N84,Schichten!$A$5:$G$24,6,FALSE()),0))</f>
        <v>8</v>
      </c>
      <c r="P84" s="27" t="n">
        <f aca="false">IF($A84="","",IFERROR(VLOOKUP(N84,Schichten!$A$5:$G$24,7,FALSE()),0))</f>
        <v>0</v>
      </c>
      <c r="Q84" s="28" t="n">
        <f aca="false">IF($A84="","",IF(N(O84)=0,"",$A84+VLOOKUP(N84,Schichten!$A$5:$G$24,3,FALSE())))</f>
        <v>46467.5833333333</v>
      </c>
      <c r="R84" s="28" t="n">
        <f aca="false">IF(Q84="","",$A84+VLOOKUP(N84,Schichten!$A$5:$G$24,4,FALSE())+IF(VLOOKUP(N84,Schichten!$A$5:$G$24,4,FALSE())&lt;=VLOOKUP(N84,Schichten!$A$5:$G$24,3,FALSE()),1,0))</f>
        <v>46467.9166666667</v>
      </c>
      <c r="S84" s="28" t="n">
        <f aca="false">IF($A84="","",IF(N(O83)&gt;0,R83,S83))</f>
        <v>46466.5833333333</v>
      </c>
      <c r="T84" s="27" t="n">
        <f aca="false">IF(OR(Q84="",S84=""),"",(Q84-S84)*24)</f>
        <v>24</v>
      </c>
      <c r="U84" s="21" t="n">
        <f aca="false">IF($A84="","",IF(N(O84)&gt;0,N(U83)+1,0))</f>
        <v>3</v>
      </c>
      <c r="V84" s="21" t="n">
        <f aca="false">IF($A84="","",IF(N(P84)&gt;0,N(V83)+1,0))</f>
        <v>0</v>
      </c>
      <c r="W84" s="21" t="n">
        <f aca="false">IF($A84="","",IF(WEEKDAY($A84,2)&lt;&gt;7,"",IF(AND(OR(Q84="",N(Q84)&gt;=$A84+16/24,N(R84)&lt;=$A84+6/24),OR(S84="",N(S84)&lt;=$A84+6/24)),1,0)))</f>
        <v>0</v>
      </c>
      <c r="X84" s="26" t="str">
        <f aca="false">IF($A84="","",IF(INDEX(Muster!$C$8:$BF$8,1,MOD($A84-Einstellungen!$C$6,Einstellungen!$C$7)+1)="","-",INDEX(Muster!$C$8:$BF$8,1,MOD($A84-Einstellungen!$C$6,Einstellungen!$C$7)+1)))</f>
        <v>F</v>
      </c>
      <c r="Y84" s="27" t="n">
        <f aca="false">IF($A84="","",IFERROR(VLOOKUP(X84,Schichten!$A$5:$G$24,6,FALSE()),0))</f>
        <v>8</v>
      </c>
      <c r="Z84" s="27" t="n">
        <f aca="false">IF($A84="","",IFERROR(VLOOKUP(X84,Schichten!$A$5:$G$24,7,FALSE()),0))</f>
        <v>0</v>
      </c>
      <c r="AA84" s="28" t="n">
        <f aca="false">IF($A84="","",IF(N(Y84)=0,"",$A84+VLOOKUP(X84,Schichten!$A$5:$G$24,3,FALSE())))</f>
        <v>46467.25</v>
      </c>
      <c r="AB84" s="28" t="n">
        <f aca="false">IF(AA84="","",$A84+VLOOKUP(X84,Schichten!$A$5:$G$24,4,FALSE())+IF(VLOOKUP(X84,Schichten!$A$5:$G$24,4,FALSE())&lt;=VLOOKUP(X84,Schichten!$A$5:$G$24,3,FALSE()),1,0))</f>
        <v>46467.5833333333</v>
      </c>
      <c r="AC84" s="28" t="n">
        <f aca="false">IF($A84="","",IF(N(Y83)&gt;0,AB83,AC83))</f>
        <v>46465.25</v>
      </c>
      <c r="AD84" s="27" t="n">
        <f aca="false">IF(OR(AA84="",AC84=""),"",(AA84-AC84)*24)</f>
        <v>48</v>
      </c>
      <c r="AE84" s="21" t="n">
        <f aca="false">IF($A84="","",IF(N(Y84)&gt;0,N(AE83)+1,0))</f>
        <v>1</v>
      </c>
      <c r="AF84" s="21" t="n">
        <f aca="false">IF($A84="","",IF(N(Z84)&gt;0,N(AF83)+1,0))</f>
        <v>0</v>
      </c>
      <c r="AG84" s="21" t="n">
        <f aca="false">IF($A84="","",IF(WEEKDAY($A84,2)&lt;&gt;7,"",IF(AND(OR(AA84="",N(AA84)&gt;=$A84+16/24,N(AB84)&lt;=$A84+6/24),OR(AC84="",N(AC84)&lt;=$A84+6/24)),1,0)))</f>
        <v>0</v>
      </c>
      <c r="AH84" s="26" t="str">
        <f aca="false">IF($A84="","",IF(INDEX(Muster!$C$9:$BF$9,1,MOD($A84-Einstellungen!$C$6,Einstellungen!$C$7)+1)="","-",INDEX(Muster!$C$9:$BF$9,1,MOD($A84-Einstellungen!$C$6,Einstellungen!$C$7)+1)))</f>
        <v>-</v>
      </c>
      <c r="AI84" s="27" t="n">
        <f aca="false">IF($A84="","",IFERROR(VLOOKUP(AH84,Schichten!$A$5:$G$24,6,FALSE()),0))</f>
        <v>0</v>
      </c>
      <c r="AJ84" s="27" t="n">
        <f aca="false">IF($A84="","",IFERROR(VLOOKUP(AH84,Schichten!$A$5:$G$24,7,FALSE()),0))</f>
        <v>0</v>
      </c>
      <c r="AK84" s="28" t="str">
        <f aca="false">IF($A84="","",IF(N(AI84)=0,"",$A84+VLOOKUP(AH84,Schichten!$A$5:$G$24,3,FALSE())))</f>
        <v/>
      </c>
      <c r="AL84" s="28" t="str">
        <f aca="false">IF(AK84="","",$A84+VLOOKUP(AH84,Schichten!$A$5:$G$24,4,FALSE())+IF(VLOOKUP(AH84,Schichten!$A$5:$G$24,4,FALSE())&lt;=VLOOKUP(AH84,Schichten!$A$5:$G$24,3,FALSE()),1,0))</f>
        <v/>
      </c>
      <c r="AM84" s="28" t="n">
        <f aca="false">IF($A84="","",IF(N(AI83)&gt;0,AL83,AM83))</f>
        <v>46467.25</v>
      </c>
      <c r="AN84" s="27" t="str">
        <f aca="false">IF(OR(AK84="",AM84=""),"",(AK84-AM84)*24)</f>
        <v/>
      </c>
      <c r="AO84" s="21" t="n">
        <f aca="false">IF($A84="","",IF(N(AI84)&gt;0,N(AO83)+1,0))</f>
        <v>0</v>
      </c>
      <c r="AP84" s="21" t="n">
        <f aca="false">IF($A84="","",IF(N(AJ84)&gt;0,N(AP83)+1,0))</f>
        <v>0</v>
      </c>
      <c r="AQ84" s="21" t="n">
        <f aca="false">IF($A84="","",IF(WEEKDAY($A84,2)&lt;&gt;7,"",IF(AND(OR(AK84="",N(AK84)&gt;=$A84+16/24,N(AL84)&lt;=$A84+6/24),OR(AM84="",N(AM84)&lt;=$A84+6/24)),1,0)))</f>
        <v>1</v>
      </c>
      <c r="AR84" s="26" t="str">
        <f aca="false">IF($A84="","",IF(INDEX(Muster!$C$10:$BF$10,1,MOD($A84-Einstellungen!$C$6,Einstellungen!$C$7)+1)="","-",INDEX(Muster!$C$10:$BF$10,1,MOD($A84-Einstellungen!$C$6,Einstellungen!$C$7)+1)))</f>
        <v>-</v>
      </c>
      <c r="AS84" s="27" t="n">
        <f aca="false">IF($A84="","",IFERROR(VLOOKUP(AR84,Schichten!$A$5:$G$24,6,FALSE()),0))</f>
        <v>0</v>
      </c>
      <c r="AT84" s="27" t="n">
        <f aca="false">IF($A84="","",IFERROR(VLOOKUP(AR84,Schichten!$A$5:$G$24,7,FALSE()),0))</f>
        <v>0</v>
      </c>
      <c r="AU84" s="28" t="str">
        <f aca="false">IF($A84="","",IF(N(AS84)=0,"",$A84+VLOOKUP(AR84,Schichten!$A$5:$G$24,3,FALSE())))</f>
        <v/>
      </c>
      <c r="AV84" s="28" t="str">
        <f aca="false">IF(AU84="","",$A84+VLOOKUP(AR84,Schichten!$A$5:$G$24,4,FALSE())+IF(VLOOKUP(AR84,Schichten!$A$5:$G$24,4,FALSE())&lt;=VLOOKUP(AR84,Schichten!$A$5:$G$24,3,FALSE()),1,0))</f>
        <v/>
      </c>
      <c r="AW84" s="28" t="str">
        <f aca="false">IF($A84="","",IF(N(AS83)&gt;0,AV83,AW83))</f>
        <v/>
      </c>
      <c r="AX84" s="27" t="str">
        <f aca="false">IF(OR(AU84="",AW84=""),"",(AU84-AW84)*24)</f>
        <v/>
      </c>
      <c r="AY84" s="21" t="n">
        <f aca="false">IF($A84="","",IF(N(AS84)&gt;0,N(AY83)+1,0))</f>
        <v>0</v>
      </c>
      <c r="AZ84" s="21" t="n">
        <f aca="false">IF($A84="","",IF(N(AT84)&gt;0,N(AZ83)+1,0))</f>
        <v>0</v>
      </c>
      <c r="BA84" s="21" t="n">
        <f aca="false">IF($A84="","",IF(WEEKDAY($A84,2)&lt;&gt;7,"",IF(AND(OR(AU84="",N(AU84)&gt;=$A84+16/24,N(AV84)&lt;=$A84+6/24),OR(AW84="",N(AW84)&lt;=$A84+6/24)),1,0)))</f>
        <v>1</v>
      </c>
    </row>
    <row r="85" customFormat="false" ht="15" hidden="false" customHeight="false" outlineLevel="0" collapsed="false">
      <c r="A85" s="25" t="n">
        <f aca="false">IF(YEAR(DATE(Einstellungen!$C$4,1,1)+80)=Einstellungen!$C$4,DATE(Einstellungen!$C$4,1,1)+80,"")</f>
        <v>46468</v>
      </c>
      <c r="B85" s="26" t="str">
        <f aca="false">IF($A85="","",CHOOSE(WEEKDAY($A85,2),"Mo","Di","Mi","Do","Fr","Sa","So"))</f>
        <v>Mo</v>
      </c>
      <c r="C85" s="26" t="n">
        <f aca="false">IF($A85="","",MONTH($A85))</f>
        <v>3</v>
      </c>
      <c r="D85" s="26" t="str">
        <f aca="false">IF($A85="","",IF(INDEX(Muster!$C$6:$BF$6,1,MOD($A85-Einstellungen!$C$6,Einstellungen!$C$7)+1)="","-",INDEX(Muster!$C$6:$BF$6,1,MOD($A85-Einstellungen!$C$6,Einstellungen!$C$7)+1)))</f>
        <v>N</v>
      </c>
      <c r="E85" s="27" t="n">
        <f aca="false">IF($A85="","",IFERROR(VLOOKUP(D85,Schichten!$A$5:$G$24,6,FALSE()),0))</f>
        <v>8</v>
      </c>
      <c r="F85" s="27" t="n">
        <f aca="false">IF($A85="","",IFERROR(VLOOKUP(D85,Schichten!$A$5:$G$24,7,FALSE()),0))</f>
        <v>7</v>
      </c>
      <c r="G85" s="28" t="n">
        <f aca="false">IF($A85="","",IF(N(E85)=0,"",$A85+VLOOKUP(D85,Schichten!$A$5:$G$24,3,FALSE())))</f>
        <v>46468.9166666667</v>
      </c>
      <c r="H85" s="28" t="n">
        <f aca="false">IF(G85="","",$A85+VLOOKUP(D85,Schichten!$A$5:$G$24,4,FALSE())+IF(VLOOKUP(D85,Schichten!$A$5:$G$24,4,FALSE())&lt;=VLOOKUP(D85,Schichten!$A$5:$G$24,3,FALSE()),1,0))</f>
        <v>46469.25</v>
      </c>
      <c r="I85" s="28" t="n">
        <f aca="false">IF($A85="","",IF(N(E84)&gt;0,H84,I84))</f>
        <v>46468.25</v>
      </c>
      <c r="J85" s="27" t="n">
        <f aca="false">IF(OR(G85="",I85=""),"",(G85-I85)*24)</f>
        <v>16</v>
      </c>
      <c r="K85" s="21" t="n">
        <f aca="false">IF($A85="","",IF(N(E85)&gt;0,N(K84)+1,0))</f>
        <v>6</v>
      </c>
      <c r="L85" s="21" t="n">
        <f aca="false">IF($A85="","",IF(N(F85)&gt;0,N(L84)+1,0))</f>
        <v>2</v>
      </c>
      <c r="M85" s="21" t="str">
        <f aca="false">IF($A85="","",IF(WEEKDAY($A85,2)&lt;&gt;7,"",IF(AND(OR(G85="",N(G85)&gt;=$A85+16/24,N(H85)&lt;=$A85+6/24),OR(I85="",N(I85)&lt;=$A85+6/24)),1,0)))</f>
        <v/>
      </c>
      <c r="N85" s="26" t="str">
        <f aca="false">IF($A85="","",IF(INDEX(Muster!$C$7:$BF$7,1,MOD($A85-Einstellungen!$C$6,Einstellungen!$C$7)+1)="","-",INDEX(Muster!$C$7:$BF$7,1,MOD($A85-Einstellungen!$C$6,Einstellungen!$C$7)+1)))</f>
        <v>S</v>
      </c>
      <c r="O85" s="27" t="n">
        <f aca="false">IF($A85="","",IFERROR(VLOOKUP(N85,Schichten!$A$5:$G$24,6,FALSE()),0))</f>
        <v>8</v>
      </c>
      <c r="P85" s="27" t="n">
        <f aca="false">IF($A85="","",IFERROR(VLOOKUP(N85,Schichten!$A$5:$G$24,7,FALSE()),0))</f>
        <v>0</v>
      </c>
      <c r="Q85" s="28" t="n">
        <f aca="false">IF($A85="","",IF(N(O85)=0,"",$A85+VLOOKUP(N85,Schichten!$A$5:$G$24,3,FALSE())))</f>
        <v>46468.5833333333</v>
      </c>
      <c r="R85" s="28" t="n">
        <f aca="false">IF(Q85="","",$A85+VLOOKUP(N85,Schichten!$A$5:$G$24,4,FALSE())+IF(VLOOKUP(N85,Schichten!$A$5:$G$24,4,FALSE())&lt;=VLOOKUP(N85,Schichten!$A$5:$G$24,3,FALSE()),1,0))</f>
        <v>46468.9166666667</v>
      </c>
      <c r="S85" s="28" t="n">
        <f aca="false">IF($A85="","",IF(N(O84)&gt;0,R84,S84))</f>
        <v>46467.9166666667</v>
      </c>
      <c r="T85" s="27" t="n">
        <f aca="false">IF(OR(Q85="",S85=""),"",(Q85-S85)*24)</f>
        <v>16</v>
      </c>
      <c r="U85" s="21" t="n">
        <f aca="false">IF($A85="","",IF(N(O85)&gt;0,N(U84)+1,0))</f>
        <v>4</v>
      </c>
      <c r="V85" s="21" t="n">
        <f aca="false">IF($A85="","",IF(N(P85)&gt;0,N(V84)+1,0))</f>
        <v>0</v>
      </c>
      <c r="W85" s="21" t="str">
        <f aca="false">IF($A85="","",IF(WEEKDAY($A85,2)&lt;&gt;7,"",IF(AND(OR(Q85="",N(Q85)&gt;=$A85+16/24,N(R85)&lt;=$A85+6/24),OR(S85="",N(S85)&lt;=$A85+6/24)),1,0)))</f>
        <v/>
      </c>
      <c r="X85" s="26" t="str">
        <f aca="false">IF($A85="","",IF(INDEX(Muster!$C$8:$BF$8,1,MOD($A85-Einstellungen!$C$6,Einstellungen!$C$7)+1)="","-",INDEX(Muster!$C$8:$BF$8,1,MOD($A85-Einstellungen!$C$6,Einstellungen!$C$7)+1)))</f>
        <v>F</v>
      </c>
      <c r="Y85" s="27" t="n">
        <f aca="false">IF($A85="","",IFERROR(VLOOKUP(X85,Schichten!$A$5:$G$24,6,FALSE()),0))</f>
        <v>8</v>
      </c>
      <c r="Z85" s="27" t="n">
        <f aca="false">IF($A85="","",IFERROR(VLOOKUP(X85,Schichten!$A$5:$G$24,7,FALSE()),0))</f>
        <v>0</v>
      </c>
      <c r="AA85" s="28" t="n">
        <f aca="false">IF($A85="","",IF(N(Y85)=0,"",$A85+VLOOKUP(X85,Schichten!$A$5:$G$24,3,FALSE())))</f>
        <v>46468.25</v>
      </c>
      <c r="AB85" s="28" t="n">
        <f aca="false">IF(AA85="","",$A85+VLOOKUP(X85,Schichten!$A$5:$G$24,4,FALSE())+IF(VLOOKUP(X85,Schichten!$A$5:$G$24,4,FALSE())&lt;=VLOOKUP(X85,Schichten!$A$5:$G$24,3,FALSE()),1,0))</f>
        <v>46468.5833333333</v>
      </c>
      <c r="AC85" s="28" t="n">
        <f aca="false">IF($A85="","",IF(N(Y84)&gt;0,AB84,AC84))</f>
        <v>46467.5833333333</v>
      </c>
      <c r="AD85" s="27" t="n">
        <f aca="false">IF(OR(AA85="",AC85=""),"",(AA85-AC85)*24)</f>
        <v>16</v>
      </c>
      <c r="AE85" s="21" t="n">
        <f aca="false">IF($A85="","",IF(N(Y85)&gt;0,N(AE84)+1,0))</f>
        <v>2</v>
      </c>
      <c r="AF85" s="21" t="n">
        <f aca="false">IF($A85="","",IF(N(Z85)&gt;0,N(AF84)+1,0))</f>
        <v>0</v>
      </c>
      <c r="AG85" s="21" t="str">
        <f aca="false">IF($A85="","",IF(WEEKDAY($A85,2)&lt;&gt;7,"",IF(AND(OR(AA85="",N(AA85)&gt;=$A85+16/24,N(AB85)&lt;=$A85+6/24),OR(AC85="",N(AC85)&lt;=$A85+6/24)),1,0)))</f>
        <v/>
      </c>
      <c r="AH85" s="26" t="str">
        <f aca="false">IF($A85="","",IF(INDEX(Muster!$C$9:$BF$9,1,MOD($A85-Einstellungen!$C$6,Einstellungen!$C$7)+1)="","-",INDEX(Muster!$C$9:$BF$9,1,MOD($A85-Einstellungen!$C$6,Einstellungen!$C$7)+1)))</f>
        <v>-</v>
      </c>
      <c r="AI85" s="27" t="n">
        <f aca="false">IF($A85="","",IFERROR(VLOOKUP(AH85,Schichten!$A$5:$G$24,6,FALSE()),0))</f>
        <v>0</v>
      </c>
      <c r="AJ85" s="27" t="n">
        <f aca="false">IF($A85="","",IFERROR(VLOOKUP(AH85,Schichten!$A$5:$G$24,7,FALSE()),0))</f>
        <v>0</v>
      </c>
      <c r="AK85" s="28" t="str">
        <f aca="false">IF($A85="","",IF(N(AI85)=0,"",$A85+VLOOKUP(AH85,Schichten!$A$5:$G$24,3,FALSE())))</f>
        <v/>
      </c>
      <c r="AL85" s="28" t="str">
        <f aca="false">IF(AK85="","",$A85+VLOOKUP(AH85,Schichten!$A$5:$G$24,4,FALSE())+IF(VLOOKUP(AH85,Schichten!$A$5:$G$24,4,FALSE())&lt;=VLOOKUP(AH85,Schichten!$A$5:$G$24,3,FALSE()),1,0))</f>
        <v/>
      </c>
      <c r="AM85" s="28" t="n">
        <f aca="false">IF($A85="","",IF(N(AI84)&gt;0,AL84,AM84))</f>
        <v>46467.25</v>
      </c>
      <c r="AN85" s="27" t="str">
        <f aca="false">IF(OR(AK85="",AM85=""),"",(AK85-AM85)*24)</f>
        <v/>
      </c>
      <c r="AO85" s="21" t="n">
        <f aca="false">IF($A85="","",IF(N(AI85)&gt;0,N(AO84)+1,0))</f>
        <v>0</v>
      </c>
      <c r="AP85" s="21" t="n">
        <f aca="false">IF($A85="","",IF(N(AJ85)&gt;0,N(AP84)+1,0))</f>
        <v>0</v>
      </c>
      <c r="AQ85" s="21" t="str">
        <f aca="false">IF($A85="","",IF(WEEKDAY($A85,2)&lt;&gt;7,"",IF(AND(OR(AK85="",N(AK85)&gt;=$A85+16/24,N(AL85)&lt;=$A85+6/24),OR(AM85="",N(AM85)&lt;=$A85+6/24)),1,0)))</f>
        <v/>
      </c>
      <c r="AR85" s="26" t="str">
        <f aca="false">IF($A85="","",IF(INDEX(Muster!$C$10:$BF$10,1,MOD($A85-Einstellungen!$C$6,Einstellungen!$C$7)+1)="","-",INDEX(Muster!$C$10:$BF$10,1,MOD($A85-Einstellungen!$C$6,Einstellungen!$C$7)+1)))</f>
        <v>-</v>
      </c>
      <c r="AS85" s="27" t="n">
        <f aca="false">IF($A85="","",IFERROR(VLOOKUP(AR85,Schichten!$A$5:$G$24,6,FALSE()),0))</f>
        <v>0</v>
      </c>
      <c r="AT85" s="27" t="n">
        <f aca="false">IF($A85="","",IFERROR(VLOOKUP(AR85,Schichten!$A$5:$G$24,7,FALSE()),0))</f>
        <v>0</v>
      </c>
      <c r="AU85" s="28" t="str">
        <f aca="false">IF($A85="","",IF(N(AS85)=0,"",$A85+VLOOKUP(AR85,Schichten!$A$5:$G$24,3,FALSE())))</f>
        <v/>
      </c>
      <c r="AV85" s="28" t="str">
        <f aca="false">IF(AU85="","",$A85+VLOOKUP(AR85,Schichten!$A$5:$G$24,4,FALSE())+IF(VLOOKUP(AR85,Schichten!$A$5:$G$24,4,FALSE())&lt;=VLOOKUP(AR85,Schichten!$A$5:$G$24,3,FALSE()),1,0))</f>
        <v/>
      </c>
      <c r="AW85" s="28" t="str">
        <f aca="false">IF($A85="","",IF(N(AS84)&gt;0,AV84,AW84))</f>
        <v/>
      </c>
      <c r="AX85" s="27" t="str">
        <f aca="false">IF(OR(AU85="",AW85=""),"",(AU85-AW85)*24)</f>
        <v/>
      </c>
      <c r="AY85" s="21" t="n">
        <f aca="false">IF($A85="","",IF(N(AS85)&gt;0,N(AY84)+1,0))</f>
        <v>0</v>
      </c>
      <c r="AZ85" s="21" t="n">
        <f aca="false">IF($A85="","",IF(N(AT85)&gt;0,N(AZ84)+1,0))</f>
        <v>0</v>
      </c>
      <c r="BA85" s="21" t="str">
        <f aca="false">IF($A85="","",IF(WEEKDAY($A85,2)&lt;&gt;7,"",IF(AND(OR(AU85="",N(AU85)&gt;=$A85+16/24,N(AV85)&lt;=$A85+6/24),OR(AW85="",N(AW85)&lt;=$A85+6/24)),1,0)))</f>
        <v/>
      </c>
    </row>
    <row r="86" customFormat="false" ht="15" hidden="false" customHeight="false" outlineLevel="0" collapsed="false">
      <c r="A86" s="25" t="n">
        <f aca="false">IF(YEAR(DATE(Einstellungen!$C$4,1,1)+81)=Einstellungen!$C$4,DATE(Einstellungen!$C$4,1,1)+81,"")</f>
        <v>46469</v>
      </c>
      <c r="B86" s="26" t="str">
        <f aca="false">IF($A86="","",CHOOSE(WEEKDAY($A86,2),"Mo","Di","Mi","Do","Fr","Sa","So"))</f>
        <v>Di</v>
      </c>
      <c r="C86" s="26" t="n">
        <f aca="false">IF($A86="","",MONTH($A86))</f>
        <v>3</v>
      </c>
      <c r="D86" s="26" t="str">
        <f aca="false">IF($A86="","",IF(INDEX(Muster!$C$6:$BF$6,1,MOD($A86-Einstellungen!$C$6,Einstellungen!$C$7)+1)="","-",INDEX(Muster!$C$6:$BF$6,1,MOD($A86-Einstellungen!$C$6,Einstellungen!$C$7)+1)))</f>
        <v>-</v>
      </c>
      <c r="E86" s="27" t="n">
        <f aca="false">IF($A86="","",IFERROR(VLOOKUP(D86,Schichten!$A$5:$G$24,6,FALSE()),0))</f>
        <v>0</v>
      </c>
      <c r="F86" s="27" t="n">
        <f aca="false">IF($A86="","",IFERROR(VLOOKUP(D86,Schichten!$A$5:$G$24,7,FALSE()),0))</f>
        <v>0</v>
      </c>
      <c r="G86" s="28" t="str">
        <f aca="false">IF($A86="","",IF(N(E86)=0,"",$A86+VLOOKUP(D86,Schichten!$A$5:$G$24,3,FALSE())))</f>
        <v/>
      </c>
      <c r="H86" s="28" t="str">
        <f aca="false">IF(G86="","",$A86+VLOOKUP(D86,Schichten!$A$5:$G$24,4,FALSE())+IF(VLOOKUP(D86,Schichten!$A$5:$G$24,4,FALSE())&lt;=VLOOKUP(D86,Schichten!$A$5:$G$24,3,FALSE()),1,0))</f>
        <v/>
      </c>
      <c r="I86" s="28" t="n">
        <f aca="false">IF($A86="","",IF(N(E85)&gt;0,H85,I85))</f>
        <v>46469.25</v>
      </c>
      <c r="J86" s="27" t="str">
        <f aca="false">IF(OR(G86="",I86=""),"",(G86-I86)*24)</f>
        <v/>
      </c>
      <c r="K86" s="21" t="n">
        <f aca="false">IF($A86="","",IF(N(E86)&gt;0,N(K85)+1,0))</f>
        <v>0</v>
      </c>
      <c r="L86" s="21" t="n">
        <f aca="false">IF($A86="","",IF(N(F86)&gt;0,N(L85)+1,0))</f>
        <v>0</v>
      </c>
      <c r="M86" s="21" t="str">
        <f aca="false">IF($A86="","",IF(WEEKDAY($A86,2)&lt;&gt;7,"",IF(AND(OR(G86="",N(G86)&gt;=$A86+16/24,N(H86)&lt;=$A86+6/24),OR(I86="",N(I86)&lt;=$A86+6/24)),1,0)))</f>
        <v/>
      </c>
      <c r="N86" s="26" t="str">
        <f aca="false">IF($A86="","",IF(INDEX(Muster!$C$7:$BF$7,1,MOD($A86-Einstellungen!$C$6,Einstellungen!$C$7)+1)="","-",INDEX(Muster!$C$7:$BF$7,1,MOD($A86-Einstellungen!$C$6,Einstellungen!$C$7)+1)))</f>
        <v>N</v>
      </c>
      <c r="O86" s="27" t="n">
        <f aca="false">IF($A86="","",IFERROR(VLOOKUP(N86,Schichten!$A$5:$G$24,6,FALSE()),0))</f>
        <v>8</v>
      </c>
      <c r="P86" s="27" t="n">
        <f aca="false">IF($A86="","",IFERROR(VLOOKUP(N86,Schichten!$A$5:$G$24,7,FALSE()),0))</f>
        <v>7</v>
      </c>
      <c r="Q86" s="28" t="n">
        <f aca="false">IF($A86="","",IF(N(O86)=0,"",$A86+VLOOKUP(N86,Schichten!$A$5:$G$24,3,FALSE())))</f>
        <v>46469.9166666667</v>
      </c>
      <c r="R86" s="28" t="n">
        <f aca="false">IF(Q86="","",$A86+VLOOKUP(N86,Schichten!$A$5:$G$24,4,FALSE())+IF(VLOOKUP(N86,Schichten!$A$5:$G$24,4,FALSE())&lt;=VLOOKUP(N86,Schichten!$A$5:$G$24,3,FALSE()),1,0))</f>
        <v>46470.25</v>
      </c>
      <c r="S86" s="28" t="n">
        <f aca="false">IF($A86="","",IF(N(O85)&gt;0,R85,S85))</f>
        <v>46468.9166666667</v>
      </c>
      <c r="T86" s="27" t="n">
        <f aca="false">IF(OR(Q86="",S86=""),"",(Q86-S86)*24)</f>
        <v>24</v>
      </c>
      <c r="U86" s="21" t="n">
        <f aca="false">IF($A86="","",IF(N(O86)&gt;0,N(U85)+1,0))</f>
        <v>5</v>
      </c>
      <c r="V86" s="21" t="n">
        <f aca="false">IF($A86="","",IF(N(P86)&gt;0,N(V85)+1,0))</f>
        <v>1</v>
      </c>
      <c r="W86" s="21" t="str">
        <f aca="false">IF($A86="","",IF(WEEKDAY($A86,2)&lt;&gt;7,"",IF(AND(OR(Q86="",N(Q86)&gt;=$A86+16/24,N(R86)&lt;=$A86+6/24),OR(S86="",N(S86)&lt;=$A86+6/24)),1,0)))</f>
        <v/>
      </c>
      <c r="X86" s="26" t="str">
        <f aca="false">IF($A86="","",IF(INDEX(Muster!$C$8:$BF$8,1,MOD($A86-Einstellungen!$C$6,Einstellungen!$C$7)+1)="","-",INDEX(Muster!$C$8:$BF$8,1,MOD($A86-Einstellungen!$C$6,Einstellungen!$C$7)+1)))</f>
        <v>S</v>
      </c>
      <c r="Y86" s="27" t="n">
        <f aca="false">IF($A86="","",IFERROR(VLOOKUP(X86,Schichten!$A$5:$G$24,6,FALSE()),0))</f>
        <v>8</v>
      </c>
      <c r="Z86" s="27" t="n">
        <f aca="false">IF($A86="","",IFERROR(VLOOKUP(X86,Schichten!$A$5:$G$24,7,FALSE()),0))</f>
        <v>0</v>
      </c>
      <c r="AA86" s="28" t="n">
        <f aca="false">IF($A86="","",IF(N(Y86)=0,"",$A86+VLOOKUP(X86,Schichten!$A$5:$G$24,3,FALSE())))</f>
        <v>46469.5833333333</v>
      </c>
      <c r="AB86" s="28" t="n">
        <f aca="false">IF(AA86="","",$A86+VLOOKUP(X86,Schichten!$A$5:$G$24,4,FALSE())+IF(VLOOKUP(X86,Schichten!$A$5:$G$24,4,FALSE())&lt;=VLOOKUP(X86,Schichten!$A$5:$G$24,3,FALSE()),1,0))</f>
        <v>46469.9166666667</v>
      </c>
      <c r="AC86" s="28" t="n">
        <f aca="false">IF($A86="","",IF(N(Y85)&gt;0,AB85,AC85))</f>
        <v>46468.5833333333</v>
      </c>
      <c r="AD86" s="27" t="n">
        <f aca="false">IF(OR(AA86="",AC86=""),"",(AA86-AC86)*24)</f>
        <v>24</v>
      </c>
      <c r="AE86" s="21" t="n">
        <f aca="false">IF($A86="","",IF(N(Y86)&gt;0,N(AE85)+1,0))</f>
        <v>3</v>
      </c>
      <c r="AF86" s="21" t="n">
        <f aca="false">IF($A86="","",IF(N(Z86)&gt;0,N(AF85)+1,0))</f>
        <v>0</v>
      </c>
      <c r="AG86" s="21" t="str">
        <f aca="false">IF($A86="","",IF(WEEKDAY($A86,2)&lt;&gt;7,"",IF(AND(OR(AA86="",N(AA86)&gt;=$A86+16/24,N(AB86)&lt;=$A86+6/24),OR(AC86="",N(AC86)&lt;=$A86+6/24)),1,0)))</f>
        <v/>
      </c>
      <c r="AH86" s="26" t="str">
        <f aca="false">IF($A86="","",IF(INDEX(Muster!$C$9:$BF$9,1,MOD($A86-Einstellungen!$C$6,Einstellungen!$C$7)+1)="","-",INDEX(Muster!$C$9:$BF$9,1,MOD($A86-Einstellungen!$C$6,Einstellungen!$C$7)+1)))</f>
        <v>F</v>
      </c>
      <c r="AI86" s="27" t="n">
        <f aca="false">IF($A86="","",IFERROR(VLOOKUP(AH86,Schichten!$A$5:$G$24,6,FALSE()),0))</f>
        <v>8</v>
      </c>
      <c r="AJ86" s="27" t="n">
        <f aca="false">IF($A86="","",IFERROR(VLOOKUP(AH86,Schichten!$A$5:$G$24,7,FALSE()),0))</f>
        <v>0</v>
      </c>
      <c r="AK86" s="28" t="n">
        <f aca="false">IF($A86="","",IF(N(AI86)=0,"",$A86+VLOOKUP(AH86,Schichten!$A$5:$G$24,3,FALSE())))</f>
        <v>46469.25</v>
      </c>
      <c r="AL86" s="28" t="n">
        <f aca="false">IF(AK86="","",$A86+VLOOKUP(AH86,Schichten!$A$5:$G$24,4,FALSE())+IF(VLOOKUP(AH86,Schichten!$A$5:$G$24,4,FALSE())&lt;=VLOOKUP(AH86,Schichten!$A$5:$G$24,3,FALSE()),1,0))</f>
        <v>46469.5833333333</v>
      </c>
      <c r="AM86" s="28" t="n">
        <f aca="false">IF($A86="","",IF(N(AI85)&gt;0,AL85,AM85))</f>
        <v>46467.25</v>
      </c>
      <c r="AN86" s="27" t="n">
        <f aca="false">IF(OR(AK86="",AM86=""),"",(AK86-AM86)*24)</f>
        <v>48</v>
      </c>
      <c r="AO86" s="21" t="n">
        <f aca="false">IF($A86="","",IF(N(AI86)&gt;0,N(AO85)+1,0))</f>
        <v>1</v>
      </c>
      <c r="AP86" s="21" t="n">
        <f aca="false">IF($A86="","",IF(N(AJ86)&gt;0,N(AP85)+1,0))</f>
        <v>0</v>
      </c>
      <c r="AQ86" s="21" t="str">
        <f aca="false">IF($A86="","",IF(WEEKDAY($A86,2)&lt;&gt;7,"",IF(AND(OR(AK86="",N(AK86)&gt;=$A86+16/24,N(AL86)&lt;=$A86+6/24),OR(AM86="",N(AM86)&lt;=$A86+6/24)),1,0)))</f>
        <v/>
      </c>
      <c r="AR86" s="26" t="str">
        <f aca="false">IF($A86="","",IF(INDEX(Muster!$C$10:$BF$10,1,MOD($A86-Einstellungen!$C$6,Einstellungen!$C$7)+1)="","-",INDEX(Muster!$C$10:$BF$10,1,MOD($A86-Einstellungen!$C$6,Einstellungen!$C$7)+1)))</f>
        <v>-</v>
      </c>
      <c r="AS86" s="27" t="n">
        <f aca="false">IF($A86="","",IFERROR(VLOOKUP(AR86,Schichten!$A$5:$G$24,6,FALSE()),0))</f>
        <v>0</v>
      </c>
      <c r="AT86" s="27" t="n">
        <f aca="false">IF($A86="","",IFERROR(VLOOKUP(AR86,Schichten!$A$5:$G$24,7,FALSE()),0))</f>
        <v>0</v>
      </c>
      <c r="AU86" s="28" t="str">
        <f aca="false">IF($A86="","",IF(N(AS86)=0,"",$A86+VLOOKUP(AR86,Schichten!$A$5:$G$24,3,FALSE())))</f>
        <v/>
      </c>
      <c r="AV86" s="28" t="str">
        <f aca="false">IF(AU86="","",$A86+VLOOKUP(AR86,Schichten!$A$5:$G$24,4,FALSE())+IF(VLOOKUP(AR86,Schichten!$A$5:$G$24,4,FALSE())&lt;=VLOOKUP(AR86,Schichten!$A$5:$G$24,3,FALSE()),1,0))</f>
        <v/>
      </c>
      <c r="AW86" s="28" t="str">
        <f aca="false">IF($A86="","",IF(N(AS85)&gt;0,AV85,AW85))</f>
        <v/>
      </c>
      <c r="AX86" s="27" t="str">
        <f aca="false">IF(OR(AU86="",AW86=""),"",(AU86-AW86)*24)</f>
        <v/>
      </c>
      <c r="AY86" s="21" t="n">
        <f aca="false">IF($A86="","",IF(N(AS86)&gt;0,N(AY85)+1,0))</f>
        <v>0</v>
      </c>
      <c r="AZ86" s="21" t="n">
        <f aca="false">IF($A86="","",IF(N(AT86)&gt;0,N(AZ85)+1,0))</f>
        <v>0</v>
      </c>
      <c r="BA86" s="21" t="str">
        <f aca="false">IF($A86="","",IF(WEEKDAY($A86,2)&lt;&gt;7,"",IF(AND(OR(AU86="",N(AU86)&gt;=$A86+16/24,N(AV86)&lt;=$A86+6/24),OR(AW86="",N(AW86)&lt;=$A86+6/24)),1,0)))</f>
        <v/>
      </c>
    </row>
    <row r="87" customFormat="false" ht="15" hidden="false" customHeight="false" outlineLevel="0" collapsed="false">
      <c r="A87" s="25" t="n">
        <f aca="false">IF(YEAR(DATE(Einstellungen!$C$4,1,1)+82)=Einstellungen!$C$4,DATE(Einstellungen!$C$4,1,1)+82,"")</f>
        <v>46470</v>
      </c>
      <c r="B87" s="26" t="str">
        <f aca="false">IF($A87="","",CHOOSE(WEEKDAY($A87,2),"Mo","Di","Mi","Do","Fr","Sa","So"))</f>
        <v>Mi</v>
      </c>
      <c r="C87" s="26" t="n">
        <f aca="false">IF($A87="","",MONTH($A87))</f>
        <v>3</v>
      </c>
      <c r="D87" s="26" t="str">
        <f aca="false">IF($A87="","",IF(INDEX(Muster!$C$6:$BF$6,1,MOD($A87-Einstellungen!$C$6,Einstellungen!$C$7)+1)="","-",INDEX(Muster!$C$6:$BF$6,1,MOD($A87-Einstellungen!$C$6,Einstellungen!$C$7)+1)))</f>
        <v>-</v>
      </c>
      <c r="E87" s="27" t="n">
        <f aca="false">IF($A87="","",IFERROR(VLOOKUP(D87,Schichten!$A$5:$G$24,6,FALSE()),0))</f>
        <v>0</v>
      </c>
      <c r="F87" s="27" t="n">
        <f aca="false">IF($A87="","",IFERROR(VLOOKUP(D87,Schichten!$A$5:$G$24,7,FALSE()),0))</f>
        <v>0</v>
      </c>
      <c r="G87" s="28" t="str">
        <f aca="false">IF($A87="","",IF(N(E87)=0,"",$A87+VLOOKUP(D87,Schichten!$A$5:$G$24,3,FALSE())))</f>
        <v/>
      </c>
      <c r="H87" s="28" t="str">
        <f aca="false">IF(G87="","",$A87+VLOOKUP(D87,Schichten!$A$5:$G$24,4,FALSE())+IF(VLOOKUP(D87,Schichten!$A$5:$G$24,4,FALSE())&lt;=VLOOKUP(D87,Schichten!$A$5:$G$24,3,FALSE()),1,0))</f>
        <v/>
      </c>
      <c r="I87" s="28" t="n">
        <f aca="false">IF($A87="","",IF(N(E86)&gt;0,H86,I86))</f>
        <v>46469.25</v>
      </c>
      <c r="J87" s="27" t="str">
        <f aca="false">IF(OR(G87="",I87=""),"",(G87-I87)*24)</f>
        <v/>
      </c>
      <c r="K87" s="21" t="n">
        <f aca="false">IF($A87="","",IF(N(E87)&gt;0,N(K86)+1,0))</f>
        <v>0</v>
      </c>
      <c r="L87" s="21" t="n">
        <f aca="false">IF($A87="","",IF(N(F87)&gt;0,N(L86)+1,0))</f>
        <v>0</v>
      </c>
      <c r="M87" s="21" t="str">
        <f aca="false">IF($A87="","",IF(WEEKDAY($A87,2)&lt;&gt;7,"",IF(AND(OR(G87="",N(G87)&gt;=$A87+16/24,N(H87)&lt;=$A87+6/24),OR(I87="",N(I87)&lt;=$A87+6/24)),1,0)))</f>
        <v/>
      </c>
      <c r="N87" s="26" t="str">
        <f aca="false">IF($A87="","",IF(INDEX(Muster!$C$7:$BF$7,1,MOD($A87-Einstellungen!$C$6,Einstellungen!$C$7)+1)="","-",INDEX(Muster!$C$7:$BF$7,1,MOD($A87-Einstellungen!$C$6,Einstellungen!$C$7)+1)))</f>
        <v>N</v>
      </c>
      <c r="O87" s="27" t="n">
        <f aca="false">IF($A87="","",IFERROR(VLOOKUP(N87,Schichten!$A$5:$G$24,6,FALSE()),0))</f>
        <v>8</v>
      </c>
      <c r="P87" s="27" t="n">
        <f aca="false">IF($A87="","",IFERROR(VLOOKUP(N87,Schichten!$A$5:$G$24,7,FALSE()),0))</f>
        <v>7</v>
      </c>
      <c r="Q87" s="28" t="n">
        <f aca="false">IF($A87="","",IF(N(O87)=0,"",$A87+VLOOKUP(N87,Schichten!$A$5:$G$24,3,FALSE())))</f>
        <v>46470.9166666667</v>
      </c>
      <c r="R87" s="28" t="n">
        <f aca="false">IF(Q87="","",$A87+VLOOKUP(N87,Schichten!$A$5:$G$24,4,FALSE())+IF(VLOOKUP(N87,Schichten!$A$5:$G$24,4,FALSE())&lt;=VLOOKUP(N87,Schichten!$A$5:$G$24,3,FALSE()),1,0))</f>
        <v>46471.25</v>
      </c>
      <c r="S87" s="28" t="n">
        <f aca="false">IF($A87="","",IF(N(O86)&gt;0,R86,S86))</f>
        <v>46470.25</v>
      </c>
      <c r="T87" s="27" t="n">
        <f aca="false">IF(OR(Q87="",S87=""),"",(Q87-S87)*24)</f>
        <v>16</v>
      </c>
      <c r="U87" s="21" t="n">
        <f aca="false">IF($A87="","",IF(N(O87)&gt;0,N(U86)+1,0))</f>
        <v>6</v>
      </c>
      <c r="V87" s="21" t="n">
        <f aca="false">IF($A87="","",IF(N(P87)&gt;0,N(V86)+1,0))</f>
        <v>2</v>
      </c>
      <c r="W87" s="21" t="str">
        <f aca="false">IF($A87="","",IF(WEEKDAY($A87,2)&lt;&gt;7,"",IF(AND(OR(Q87="",N(Q87)&gt;=$A87+16/24,N(R87)&lt;=$A87+6/24),OR(S87="",N(S87)&lt;=$A87+6/24)),1,0)))</f>
        <v/>
      </c>
      <c r="X87" s="26" t="str">
        <f aca="false">IF($A87="","",IF(INDEX(Muster!$C$8:$BF$8,1,MOD($A87-Einstellungen!$C$6,Einstellungen!$C$7)+1)="","-",INDEX(Muster!$C$8:$BF$8,1,MOD($A87-Einstellungen!$C$6,Einstellungen!$C$7)+1)))</f>
        <v>S</v>
      </c>
      <c r="Y87" s="27" t="n">
        <f aca="false">IF($A87="","",IFERROR(VLOOKUP(X87,Schichten!$A$5:$G$24,6,FALSE()),0))</f>
        <v>8</v>
      </c>
      <c r="Z87" s="27" t="n">
        <f aca="false">IF($A87="","",IFERROR(VLOOKUP(X87,Schichten!$A$5:$G$24,7,FALSE()),0))</f>
        <v>0</v>
      </c>
      <c r="AA87" s="28" t="n">
        <f aca="false">IF($A87="","",IF(N(Y87)=0,"",$A87+VLOOKUP(X87,Schichten!$A$5:$G$24,3,FALSE())))</f>
        <v>46470.5833333333</v>
      </c>
      <c r="AB87" s="28" t="n">
        <f aca="false">IF(AA87="","",$A87+VLOOKUP(X87,Schichten!$A$5:$G$24,4,FALSE())+IF(VLOOKUP(X87,Schichten!$A$5:$G$24,4,FALSE())&lt;=VLOOKUP(X87,Schichten!$A$5:$G$24,3,FALSE()),1,0))</f>
        <v>46470.9166666667</v>
      </c>
      <c r="AC87" s="28" t="n">
        <f aca="false">IF($A87="","",IF(N(Y86)&gt;0,AB86,AC86))</f>
        <v>46469.9166666667</v>
      </c>
      <c r="AD87" s="27" t="n">
        <f aca="false">IF(OR(AA87="",AC87=""),"",(AA87-AC87)*24)</f>
        <v>16</v>
      </c>
      <c r="AE87" s="21" t="n">
        <f aca="false">IF($A87="","",IF(N(Y87)&gt;0,N(AE86)+1,0))</f>
        <v>4</v>
      </c>
      <c r="AF87" s="21" t="n">
        <f aca="false">IF($A87="","",IF(N(Z87)&gt;0,N(AF86)+1,0))</f>
        <v>0</v>
      </c>
      <c r="AG87" s="21" t="str">
        <f aca="false">IF($A87="","",IF(WEEKDAY($A87,2)&lt;&gt;7,"",IF(AND(OR(AA87="",N(AA87)&gt;=$A87+16/24,N(AB87)&lt;=$A87+6/24),OR(AC87="",N(AC87)&lt;=$A87+6/24)),1,0)))</f>
        <v/>
      </c>
      <c r="AH87" s="26" t="str">
        <f aca="false">IF($A87="","",IF(INDEX(Muster!$C$9:$BF$9,1,MOD($A87-Einstellungen!$C$6,Einstellungen!$C$7)+1)="","-",INDEX(Muster!$C$9:$BF$9,1,MOD($A87-Einstellungen!$C$6,Einstellungen!$C$7)+1)))</f>
        <v>F</v>
      </c>
      <c r="AI87" s="27" t="n">
        <f aca="false">IF($A87="","",IFERROR(VLOOKUP(AH87,Schichten!$A$5:$G$24,6,FALSE()),0))</f>
        <v>8</v>
      </c>
      <c r="AJ87" s="27" t="n">
        <f aca="false">IF($A87="","",IFERROR(VLOOKUP(AH87,Schichten!$A$5:$G$24,7,FALSE()),0))</f>
        <v>0</v>
      </c>
      <c r="AK87" s="28" t="n">
        <f aca="false">IF($A87="","",IF(N(AI87)=0,"",$A87+VLOOKUP(AH87,Schichten!$A$5:$G$24,3,FALSE())))</f>
        <v>46470.25</v>
      </c>
      <c r="AL87" s="28" t="n">
        <f aca="false">IF(AK87="","",$A87+VLOOKUP(AH87,Schichten!$A$5:$G$24,4,FALSE())+IF(VLOOKUP(AH87,Schichten!$A$5:$G$24,4,FALSE())&lt;=VLOOKUP(AH87,Schichten!$A$5:$G$24,3,FALSE()),1,0))</f>
        <v>46470.5833333333</v>
      </c>
      <c r="AM87" s="28" t="n">
        <f aca="false">IF($A87="","",IF(N(AI86)&gt;0,AL86,AM86))</f>
        <v>46469.5833333333</v>
      </c>
      <c r="AN87" s="27" t="n">
        <f aca="false">IF(OR(AK87="",AM87=""),"",(AK87-AM87)*24)</f>
        <v>16</v>
      </c>
      <c r="AO87" s="21" t="n">
        <f aca="false">IF($A87="","",IF(N(AI87)&gt;0,N(AO86)+1,0))</f>
        <v>2</v>
      </c>
      <c r="AP87" s="21" t="n">
        <f aca="false">IF($A87="","",IF(N(AJ87)&gt;0,N(AP86)+1,0))</f>
        <v>0</v>
      </c>
      <c r="AQ87" s="21" t="str">
        <f aca="false">IF($A87="","",IF(WEEKDAY($A87,2)&lt;&gt;7,"",IF(AND(OR(AK87="",N(AK87)&gt;=$A87+16/24,N(AL87)&lt;=$A87+6/24),OR(AM87="",N(AM87)&lt;=$A87+6/24)),1,0)))</f>
        <v/>
      </c>
      <c r="AR87" s="26" t="str">
        <f aca="false">IF($A87="","",IF(INDEX(Muster!$C$10:$BF$10,1,MOD($A87-Einstellungen!$C$6,Einstellungen!$C$7)+1)="","-",INDEX(Muster!$C$10:$BF$10,1,MOD($A87-Einstellungen!$C$6,Einstellungen!$C$7)+1)))</f>
        <v>-</v>
      </c>
      <c r="AS87" s="27" t="n">
        <f aca="false">IF($A87="","",IFERROR(VLOOKUP(AR87,Schichten!$A$5:$G$24,6,FALSE()),0))</f>
        <v>0</v>
      </c>
      <c r="AT87" s="27" t="n">
        <f aca="false">IF($A87="","",IFERROR(VLOOKUP(AR87,Schichten!$A$5:$G$24,7,FALSE()),0))</f>
        <v>0</v>
      </c>
      <c r="AU87" s="28" t="str">
        <f aca="false">IF($A87="","",IF(N(AS87)=0,"",$A87+VLOOKUP(AR87,Schichten!$A$5:$G$24,3,FALSE())))</f>
        <v/>
      </c>
      <c r="AV87" s="28" t="str">
        <f aca="false">IF(AU87="","",$A87+VLOOKUP(AR87,Schichten!$A$5:$G$24,4,FALSE())+IF(VLOOKUP(AR87,Schichten!$A$5:$G$24,4,FALSE())&lt;=VLOOKUP(AR87,Schichten!$A$5:$G$24,3,FALSE()),1,0))</f>
        <v/>
      </c>
      <c r="AW87" s="28" t="str">
        <f aca="false">IF($A87="","",IF(N(AS86)&gt;0,AV86,AW86))</f>
        <v/>
      </c>
      <c r="AX87" s="27" t="str">
        <f aca="false">IF(OR(AU87="",AW87=""),"",(AU87-AW87)*24)</f>
        <v/>
      </c>
      <c r="AY87" s="21" t="n">
        <f aca="false">IF($A87="","",IF(N(AS87)&gt;0,N(AY86)+1,0))</f>
        <v>0</v>
      </c>
      <c r="AZ87" s="21" t="n">
        <f aca="false">IF($A87="","",IF(N(AT87)&gt;0,N(AZ86)+1,0))</f>
        <v>0</v>
      </c>
      <c r="BA87" s="21" t="str">
        <f aca="false">IF($A87="","",IF(WEEKDAY($A87,2)&lt;&gt;7,"",IF(AND(OR(AU87="",N(AU87)&gt;=$A87+16/24,N(AV87)&lt;=$A87+6/24),OR(AW87="",N(AW87)&lt;=$A87+6/24)),1,0)))</f>
        <v/>
      </c>
    </row>
    <row r="88" customFormat="false" ht="15" hidden="false" customHeight="false" outlineLevel="0" collapsed="false">
      <c r="A88" s="25" t="n">
        <f aca="false">IF(YEAR(DATE(Einstellungen!$C$4,1,1)+83)=Einstellungen!$C$4,DATE(Einstellungen!$C$4,1,1)+83,"")</f>
        <v>46471</v>
      </c>
      <c r="B88" s="26" t="str">
        <f aca="false">IF($A88="","",CHOOSE(WEEKDAY($A88,2),"Mo","Di","Mi","Do","Fr","Sa","So"))</f>
        <v>Do</v>
      </c>
      <c r="C88" s="26" t="n">
        <f aca="false">IF($A88="","",MONTH($A88))</f>
        <v>3</v>
      </c>
      <c r="D88" s="26" t="str">
        <f aca="false">IF($A88="","",IF(INDEX(Muster!$C$6:$BF$6,1,MOD($A88-Einstellungen!$C$6,Einstellungen!$C$7)+1)="","-",INDEX(Muster!$C$6:$BF$6,1,MOD($A88-Einstellungen!$C$6,Einstellungen!$C$7)+1)))</f>
        <v>F</v>
      </c>
      <c r="E88" s="27" t="n">
        <f aca="false">IF($A88="","",IFERROR(VLOOKUP(D88,Schichten!$A$5:$G$24,6,FALSE()),0))</f>
        <v>8</v>
      </c>
      <c r="F88" s="27" t="n">
        <f aca="false">IF($A88="","",IFERROR(VLOOKUP(D88,Schichten!$A$5:$G$24,7,FALSE()),0))</f>
        <v>0</v>
      </c>
      <c r="G88" s="28" t="n">
        <f aca="false">IF($A88="","",IF(N(E88)=0,"",$A88+VLOOKUP(D88,Schichten!$A$5:$G$24,3,FALSE())))</f>
        <v>46471.25</v>
      </c>
      <c r="H88" s="28" t="n">
        <f aca="false">IF(G88="","",$A88+VLOOKUP(D88,Schichten!$A$5:$G$24,4,FALSE())+IF(VLOOKUP(D88,Schichten!$A$5:$G$24,4,FALSE())&lt;=VLOOKUP(D88,Schichten!$A$5:$G$24,3,FALSE()),1,0))</f>
        <v>46471.5833333333</v>
      </c>
      <c r="I88" s="28" t="n">
        <f aca="false">IF($A88="","",IF(N(E87)&gt;0,H87,I87))</f>
        <v>46469.25</v>
      </c>
      <c r="J88" s="27" t="n">
        <f aca="false">IF(OR(G88="",I88=""),"",(G88-I88)*24)</f>
        <v>48</v>
      </c>
      <c r="K88" s="21" t="n">
        <f aca="false">IF($A88="","",IF(N(E88)&gt;0,N(K87)+1,0))</f>
        <v>1</v>
      </c>
      <c r="L88" s="21" t="n">
        <f aca="false">IF($A88="","",IF(N(F88)&gt;0,N(L87)+1,0))</f>
        <v>0</v>
      </c>
      <c r="M88" s="21" t="str">
        <f aca="false">IF($A88="","",IF(WEEKDAY($A88,2)&lt;&gt;7,"",IF(AND(OR(G88="",N(G88)&gt;=$A88+16/24,N(H88)&lt;=$A88+6/24),OR(I88="",N(I88)&lt;=$A88+6/24)),1,0)))</f>
        <v/>
      </c>
      <c r="N88" s="26" t="str">
        <f aca="false">IF($A88="","",IF(INDEX(Muster!$C$7:$BF$7,1,MOD($A88-Einstellungen!$C$6,Einstellungen!$C$7)+1)="","-",INDEX(Muster!$C$7:$BF$7,1,MOD($A88-Einstellungen!$C$6,Einstellungen!$C$7)+1)))</f>
        <v>-</v>
      </c>
      <c r="O88" s="27" t="n">
        <f aca="false">IF($A88="","",IFERROR(VLOOKUP(N88,Schichten!$A$5:$G$24,6,FALSE()),0))</f>
        <v>0</v>
      </c>
      <c r="P88" s="27" t="n">
        <f aca="false">IF($A88="","",IFERROR(VLOOKUP(N88,Schichten!$A$5:$G$24,7,FALSE()),0))</f>
        <v>0</v>
      </c>
      <c r="Q88" s="28" t="str">
        <f aca="false">IF($A88="","",IF(N(O88)=0,"",$A88+VLOOKUP(N88,Schichten!$A$5:$G$24,3,FALSE())))</f>
        <v/>
      </c>
      <c r="R88" s="28" t="str">
        <f aca="false">IF(Q88="","",$A88+VLOOKUP(N88,Schichten!$A$5:$G$24,4,FALSE())+IF(VLOOKUP(N88,Schichten!$A$5:$G$24,4,FALSE())&lt;=VLOOKUP(N88,Schichten!$A$5:$G$24,3,FALSE()),1,0))</f>
        <v/>
      </c>
      <c r="S88" s="28" t="n">
        <f aca="false">IF($A88="","",IF(N(O87)&gt;0,R87,S87))</f>
        <v>46471.25</v>
      </c>
      <c r="T88" s="27" t="str">
        <f aca="false">IF(OR(Q88="",S88=""),"",(Q88-S88)*24)</f>
        <v/>
      </c>
      <c r="U88" s="21" t="n">
        <f aca="false">IF($A88="","",IF(N(O88)&gt;0,N(U87)+1,0))</f>
        <v>0</v>
      </c>
      <c r="V88" s="21" t="n">
        <f aca="false">IF($A88="","",IF(N(P88)&gt;0,N(V87)+1,0))</f>
        <v>0</v>
      </c>
      <c r="W88" s="21" t="str">
        <f aca="false">IF($A88="","",IF(WEEKDAY($A88,2)&lt;&gt;7,"",IF(AND(OR(Q88="",N(Q88)&gt;=$A88+16/24,N(R88)&lt;=$A88+6/24),OR(S88="",N(S88)&lt;=$A88+6/24)),1,0)))</f>
        <v/>
      </c>
      <c r="X88" s="26" t="str">
        <f aca="false">IF($A88="","",IF(INDEX(Muster!$C$8:$BF$8,1,MOD($A88-Einstellungen!$C$6,Einstellungen!$C$7)+1)="","-",INDEX(Muster!$C$8:$BF$8,1,MOD($A88-Einstellungen!$C$6,Einstellungen!$C$7)+1)))</f>
        <v>N</v>
      </c>
      <c r="Y88" s="27" t="n">
        <f aca="false">IF($A88="","",IFERROR(VLOOKUP(X88,Schichten!$A$5:$G$24,6,FALSE()),0))</f>
        <v>8</v>
      </c>
      <c r="Z88" s="27" t="n">
        <f aca="false">IF($A88="","",IFERROR(VLOOKUP(X88,Schichten!$A$5:$G$24,7,FALSE()),0))</f>
        <v>7</v>
      </c>
      <c r="AA88" s="28" t="n">
        <f aca="false">IF($A88="","",IF(N(Y88)=0,"",$A88+VLOOKUP(X88,Schichten!$A$5:$G$24,3,FALSE())))</f>
        <v>46471.9166666667</v>
      </c>
      <c r="AB88" s="28" t="n">
        <f aca="false">IF(AA88="","",$A88+VLOOKUP(X88,Schichten!$A$5:$G$24,4,FALSE())+IF(VLOOKUP(X88,Schichten!$A$5:$G$24,4,FALSE())&lt;=VLOOKUP(X88,Schichten!$A$5:$G$24,3,FALSE()),1,0))</f>
        <v>46472.25</v>
      </c>
      <c r="AC88" s="28" t="n">
        <f aca="false">IF($A88="","",IF(N(Y87)&gt;0,AB87,AC87))</f>
        <v>46470.9166666667</v>
      </c>
      <c r="AD88" s="27" t="n">
        <f aca="false">IF(OR(AA88="",AC88=""),"",(AA88-AC88)*24)</f>
        <v>24</v>
      </c>
      <c r="AE88" s="21" t="n">
        <f aca="false">IF($A88="","",IF(N(Y88)&gt;0,N(AE87)+1,0))</f>
        <v>5</v>
      </c>
      <c r="AF88" s="21" t="n">
        <f aca="false">IF($A88="","",IF(N(Z88)&gt;0,N(AF87)+1,0))</f>
        <v>1</v>
      </c>
      <c r="AG88" s="21" t="str">
        <f aca="false">IF($A88="","",IF(WEEKDAY($A88,2)&lt;&gt;7,"",IF(AND(OR(AA88="",N(AA88)&gt;=$A88+16/24,N(AB88)&lt;=$A88+6/24),OR(AC88="",N(AC88)&lt;=$A88+6/24)),1,0)))</f>
        <v/>
      </c>
      <c r="AH88" s="26" t="str">
        <f aca="false">IF($A88="","",IF(INDEX(Muster!$C$9:$BF$9,1,MOD($A88-Einstellungen!$C$6,Einstellungen!$C$7)+1)="","-",INDEX(Muster!$C$9:$BF$9,1,MOD($A88-Einstellungen!$C$6,Einstellungen!$C$7)+1)))</f>
        <v>S</v>
      </c>
      <c r="AI88" s="27" t="n">
        <f aca="false">IF($A88="","",IFERROR(VLOOKUP(AH88,Schichten!$A$5:$G$24,6,FALSE()),0))</f>
        <v>8</v>
      </c>
      <c r="AJ88" s="27" t="n">
        <f aca="false">IF($A88="","",IFERROR(VLOOKUP(AH88,Schichten!$A$5:$G$24,7,FALSE()),0))</f>
        <v>0</v>
      </c>
      <c r="AK88" s="28" t="n">
        <f aca="false">IF($A88="","",IF(N(AI88)=0,"",$A88+VLOOKUP(AH88,Schichten!$A$5:$G$24,3,FALSE())))</f>
        <v>46471.5833333333</v>
      </c>
      <c r="AL88" s="28" t="n">
        <f aca="false">IF(AK88="","",$A88+VLOOKUP(AH88,Schichten!$A$5:$G$24,4,FALSE())+IF(VLOOKUP(AH88,Schichten!$A$5:$G$24,4,FALSE())&lt;=VLOOKUP(AH88,Schichten!$A$5:$G$24,3,FALSE()),1,0))</f>
        <v>46471.9166666667</v>
      </c>
      <c r="AM88" s="28" t="n">
        <f aca="false">IF($A88="","",IF(N(AI87)&gt;0,AL87,AM87))</f>
        <v>46470.5833333333</v>
      </c>
      <c r="AN88" s="27" t="n">
        <f aca="false">IF(OR(AK88="",AM88=""),"",(AK88-AM88)*24)</f>
        <v>24</v>
      </c>
      <c r="AO88" s="21" t="n">
        <f aca="false">IF($A88="","",IF(N(AI88)&gt;0,N(AO87)+1,0))</f>
        <v>3</v>
      </c>
      <c r="AP88" s="21" t="n">
        <f aca="false">IF($A88="","",IF(N(AJ88)&gt;0,N(AP87)+1,0))</f>
        <v>0</v>
      </c>
      <c r="AQ88" s="21" t="str">
        <f aca="false">IF($A88="","",IF(WEEKDAY($A88,2)&lt;&gt;7,"",IF(AND(OR(AK88="",N(AK88)&gt;=$A88+16/24,N(AL88)&lt;=$A88+6/24),OR(AM88="",N(AM88)&lt;=$A88+6/24)),1,0)))</f>
        <v/>
      </c>
      <c r="AR88" s="26" t="str">
        <f aca="false">IF($A88="","",IF(INDEX(Muster!$C$10:$BF$10,1,MOD($A88-Einstellungen!$C$6,Einstellungen!$C$7)+1)="","-",INDEX(Muster!$C$10:$BF$10,1,MOD($A88-Einstellungen!$C$6,Einstellungen!$C$7)+1)))</f>
        <v>-</v>
      </c>
      <c r="AS88" s="27" t="n">
        <f aca="false">IF($A88="","",IFERROR(VLOOKUP(AR88,Schichten!$A$5:$G$24,6,FALSE()),0))</f>
        <v>0</v>
      </c>
      <c r="AT88" s="27" t="n">
        <f aca="false">IF($A88="","",IFERROR(VLOOKUP(AR88,Schichten!$A$5:$G$24,7,FALSE()),0))</f>
        <v>0</v>
      </c>
      <c r="AU88" s="28" t="str">
        <f aca="false">IF($A88="","",IF(N(AS88)=0,"",$A88+VLOOKUP(AR88,Schichten!$A$5:$G$24,3,FALSE())))</f>
        <v/>
      </c>
      <c r="AV88" s="28" t="str">
        <f aca="false">IF(AU88="","",$A88+VLOOKUP(AR88,Schichten!$A$5:$G$24,4,FALSE())+IF(VLOOKUP(AR88,Schichten!$A$5:$G$24,4,FALSE())&lt;=VLOOKUP(AR88,Schichten!$A$5:$G$24,3,FALSE()),1,0))</f>
        <v/>
      </c>
      <c r="AW88" s="28" t="str">
        <f aca="false">IF($A88="","",IF(N(AS87)&gt;0,AV87,AW87))</f>
        <v/>
      </c>
      <c r="AX88" s="27" t="str">
        <f aca="false">IF(OR(AU88="",AW88=""),"",(AU88-AW88)*24)</f>
        <v/>
      </c>
      <c r="AY88" s="21" t="n">
        <f aca="false">IF($A88="","",IF(N(AS88)&gt;0,N(AY87)+1,0))</f>
        <v>0</v>
      </c>
      <c r="AZ88" s="21" t="n">
        <f aca="false">IF($A88="","",IF(N(AT88)&gt;0,N(AZ87)+1,0))</f>
        <v>0</v>
      </c>
      <c r="BA88" s="21" t="str">
        <f aca="false">IF($A88="","",IF(WEEKDAY($A88,2)&lt;&gt;7,"",IF(AND(OR(AU88="",N(AU88)&gt;=$A88+16/24,N(AV88)&lt;=$A88+6/24),OR(AW88="",N(AW88)&lt;=$A88+6/24)),1,0)))</f>
        <v/>
      </c>
    </row>
    <row r="89" customFormat="false" ht="15" hidden="false" customHeight="false" outlineLevel="0" collapsed="false">
      <c r="A89" s="25" t="n">
        <f aca="false">IF(YEAR(DATE(Einstellungen!$C$4,1,1)+84)=Einstellungen!$C$4,DATE(Einstellungen!$C$4,1,1)+84,"")</f>
        <v>46472</v>
      </c>
      <c r="B89" s="26" t="str">
        <f aca="false">IF($A89="","",CHOOSE(WEEKDAY($A89,2),"Mo","Di","Mi","Do","Fr","Sa","So"))</f>
        <v>Fr</v>
      </c>
      <c r="C89" s="26" t="n">
        <f aca="false">IF($A89="","",MONTH($A89))</f>
        <v>3</v>
      </c>
      <c r="D89" s="26" t="str">
        <f aca="false">IF($A89="","",IF(INDEX(Muster!$C$6:$BF$6,1,MOD($A89-Einstellungen!$C$6,Einstellungen!$C$7)+1)="","-",INDEX(Muster!$C$6:$BF$6,1,MOD($A89-Einstellungen!$C$6,Einstellungen!$C$7)+1)))</f>
        <v>F</v>
      </c>
      <c r="E89" s="27" t="n">
        <f aca="false">IF($A89="","",IFERROR(VLOOKUP(D89,Schichten!$A$5:$G$24,6,FALSE()),0))</f>
        <v>8</v>
      </c>
      <c r="F89" s="27" t="n">
        <f aca="false">IF($A89="","",IFERROR(VLOOKUP(D89,Schichten!$A$5:$G$24,7,FALSE()),0))</f>
        <v>0</v>
      </c>
      <c r="G89" s="28" t="n">
        <f aca="false">IF($A89="","",IF(N(E89)=0,"",$A89+VLOOKUP(D89,Schichten!$A$5:$G$24,3,FALSE())))</f>
        <v>46472.25</v>
      </c>
      <c r="H89" s="28" t="n">
        <f aca="false">IF(G89="","",$A89+VLOOKUP(D89,Schichten!$A$5:$G$24,4,FALSE())+IF(VLOOKUP(D89,Schichten!$A$5:$G$24,4,FALSE())&lt;=VLOOKUP(D89,Schichten!$A$5:$G$24,3,FALSE()),1,0))</f>
        <v>46472.5833333333</v>
      </c>
      <c r="I89" s="28" t="n">
        <f aca="false">IF($A89="","",IF(N(E88)&gt;0,H88,I88))</f>
        <v>46471.5833333333</v>
      </c>
      <c r="J89" s="27" t="n">
        <f aca="false">IF(OR(G89="",I89=""),"",(G89-I89)*24)</f>
        <v>16</v>
      </c>
      <c r="K89" s="21" t="n">
        <f aca="false">IF($A89="","",IF(N(E89)&gt;0,N(K88)+1,0))</f>
        <v>2</v>
      </c>
      <c r="L89" s="21" t="n">
        <f aca="false">IF($A89="","",IF(N(F89)&gt;0,N(L88)+1,0))</f>
        <v>0</v>
      </c>
      <c r="M89" s="21" t="str">
        <f aca="false">IF($A89="","",IF(WEEKDAY($A89,2)&lt;&gt;7,"",IF(AND(OR(G89="",N(G89)&gt;=$A89+16/24,N(H89)&lt;=$A89+6/24),OR(I89="",N(I89)&lt;=$A89+6/24)),1,0)))</f>
        <v/>
      </c>
      <c r="N89" s="26" t="str">
        <f aca="false">IF($A89="","",IF(INDEX(Muster!$C$7:$BF$7,1,MOD($A89-Einstellungen!$C$6,Einstellungen!$C$7)+1)="","-",INDEX(Muster!$C$7:$BF$7,1,MOD($A89-Einstellungen!$C$6,Einstellungen!$C$7)+1)))</f>
        <v>-</v>
      </c>
      <c r="O89" s="27" t="n">
        <f aca="false">IF($A89="","",IFERROR(VLOOKUP(N89,Schichten!$A$5:$G$24,6,FALSE()),0))</f>
        <v>0</v>
      </c>
      <c r="P89" s="27" t="n">
        <f aca="false">IF($A89="","",IFERROR(VLOOKUP(N89,Schichten!$A$5:$G$24,7,FALSE()),0))</f>
        <v>0</v>
      </c>
      <c r="Q89" s="28" t="str">
        <f aca="false">IF($A89="","",IF(N(O89)=0,"",$A89+VLOOKUP(N89,Schichten!$A$5:$G$24,3,FALSE())))</f>
        <v/>
      </c>
      <c r="R89" s="28" t="str">
        <f aca="false">IF(Q89="","",$A89+VLOOKUP(N89,Schichten!$A$5:$G$24,4,FALSE())+IF(VLOOKUP(N89,Schichten!$A$5:$G$24,4,FALSE())&lt;=VLOOKUP(N89,Schichten!$A$5:$G$24,3,FALSE()),1,0))</f>
        <v/>
      </c>
      <c r="S89" s="28" t="n">
        <f aca="false">IF($A89="","",IF(N(O88)&gt;0,R88,S88))</f>
        <v>46471.25</v>
      </c>
      <c r="T89" s="27" t="str">
        <f aca="false">IF(OR(Q89="",S89=""),"",(Q89-S89)*24)</f>
        <v/>
      </c>
      <c r="U89" s="21" t="n">
        <f aca="false">IF($A89="","",IF(N(O89)&gt;0,N(U88)+1,0))</f>
        <v>0</v>
      </c>
      <c r="V89" s="21" t="n">
        <f aca="false">IF($A89="","",IF(N(P89)&gt;0,N(V88)+1,0))</f>
        <v>0</v>
      </c>
      <c r="W89" s="21" t="str">
        <f aca="false">IF($A89="","",IF(WEEKDAY($A89,2)&lt;&gt;7,"",IF(AND(OR(Q89="",N(Q89)&gt;=$A89+16/24,N(R89)&lt;=$A89+6/24),OR(S89="",N(S89)&lt;=$A89+6/24)),1,0)))</f>
        <v/>
      </c>
      <c r="X89" s="26" t="str">
        <f aca="false">IF($A89="","",IF(INDEX(Muster!$C$8:$BF$8,1,MOD($A89-Einstellungen!$C$6,Einstellungen!$C$7)+1)="","-",INDEX(Muster!$C$8:$BF$8,1,MOD($A89-Einstellungen!$C$6,Einstellungen!$C$7)+1)))</f>
        <v>N</v>
      </c>
      <c r="Y89" s="27" t="n">
        <f aca="false">IF($A89="","",IFERROR(VLOOKUP(X89,Schichten!$A$5:$G$24,6,FALSE()),0))</f>
        <v>8</v>
      </c>
      <c r="Z89" s="27" t="n">
        <f aca="false">IF($A89="","",IFERROR(VLOOKUP(X89,Schichten!$A$5:$G$24,7,FALSE()),0))</f>
        <v>7</v>
      </c>
      <c r="AA89" s="28" t="n">
        <f aca="false">IF($A89="","",IF(N(Y89)=0,"",$A89+VLOOKUP(X89,Schichten!$A$5:$G$24,3,FALSE())))</f>
        <v>46472.9166666667</v>
      </c>
      <c r="AB89" s="28" t="n">
        <f aca="false">IF(AA89="","",$A89+VLOOKUP(X89,Schichten!$A$5:$G$24,4,FALSE())+IF(VLOOKUP(X89,Schichten!$A$5:$G$24,4,FALSE())&lt;=VLOOKUP(X89,Schichten!$A$5:$G$24,3,FALSE()),1,0))</f>
        <v>46473.25</v>
      </c>
      <c r="AC89" s="28" t="n">
        <f aca="false">IF($A89="","",IF(N(Y88)&gt;0,AB88,AC88))</f>
        <v>46472.25</v>
      </c>
      <c r="AD89" s="27" t="n">
        <f aca="false">IF(OR(AA89="",AC89=""),"",(AA89-AC89)*24)</f>
        <v>16</v>
      </c>
      <c r="AE89" s="21" t="n">
        <f aca="false">IF($A89="","",IF(N(Y89)&gt;0,N(AE88)+1,0))</f>
        <v>6</v>
      </c>
      <c r="AF89" s="21" t="n">
        <f aca="false">IF($A89="","",IF(N(Z89)&gt;0,N(AF88)+1,0))</f>
        <v>2</v>
      </c>
      <c r="AG89" s="21" t="str">
        <f aca="false">IF($A89="","",IF(WEEKDAY($A89,2)&lt;&gt;7,"",IF(AND(OR(AA89="",N(AA89)&gt;=$A89+16/24,N(AB89)&lt;=$A89+6/24),OR(AC89="",N(AC89)&lt;=$A89+6/24)),1,0)))</f>
        <v/>
      </c>
      <c r="AH89" s="26" t="str">
        <f aca="false">IF($A89="","",IF(INDEX(Muster!$C$9:$BF$9,1,MOD($A89-Einstellungen!$C$6,Einstellungen!$C$7)+1)="","-",INDEX(Muster!$C$9:$BF$9,1,MOD($A89-Einstellungen!$C$6,Einstellungen!$C$7)+1)))</f>
        <v>S</v>
      </c>
      <c r="AI89" s="27" t="n">
        <f aca="false">IF($A89="","",IFERROR(VLOOKUP(AH89,Schichten!$A$5:$G$24,6,FALSE()),0))</f>
        <v>8</v>
      </c>
      <c r="AJ89" s="27" t="n">
        <f aca="false">IF($A89="","",IFERROR(VLOOKUP(AH89,Schichten!$A$5:$G$24,7,FALSE()),0))</f>
        <v>0</v>
      </c>
      <c r="AK89" s="28" t="n">
        <f aca="false">IF($A89="","",IF(N(AI89)=0,"",$A89+VLOOKUP(AH89,Schichten!$A$5:$G$24,3,FALSE())))</f>
        <v>46472.5833333333</v>
      </c>
      <c r="AL89" s="28" t="n">
        <f aca="false">IF(AK89="","",$A89+VLOOKUP(AH89,Schichten!$A$5:$G$24,4,FALSE())+IF(VLOOKUP(AH89,Schichten!$A$5:$G$24,4,FALSE())&lt;=VLOOKUP(AH89,Schichten!$A$5:$G$24,3,FALSE()),1,0))</f>
        <v>46472.9166666667</v>
      </c>
      <c r="AM89" s="28" t="n">
        <f aca="false">IF($A89="","",IF(N(AI88)&gt;0,AL88,AM88))</f>
        <v>46471.9166666667</v>
      </c>
      <c r="AN89" s="27" t="n">
        <f aca="false">IF(OR(AK89="",AM89=""),"",(AK89-AM89)*24)</f>
        <v>16</v>
      </c>
      <c r="AO89" s="21" t="n">
        <f aca="false">IF($A89="","",IF(N(AI89)&gt;0,N(AO88)+1,0))</f>
        <v>4</v>
      </c>
      <c r="AP89" s="21" t="n">
        <f aca="false">IF($A89="","",IF(N(AJ89)&gt;0,N(AP88)+1,0))</f>
        <v>0</v>
      </c>
      <c r="AQ89" s="21" t="str">
        <f aca="false">IF($A89="","",IF(WEEKDAY($A89,2)&lt;&gt;7,"",IF(AND(OR(AK89="",N(AK89)&gt;=$A89+16/24,N(AL89)&lt;=$A89+6/24),OR(AM89="",N(AM89)&lt;=$A89+6/24)),1,0)))</f>
        <v/>
      </c>
      <c r="AR89" s="26" t="str">
        <f aca="false">IF($A89="","",IF(INDEX(Muster!$C$10:$BF$10,1,MOD($A89-Einstellungen!$C$6,Einstellungen!$C$7)+1)="","-",INDEX(Muster!$C$10:$BF$10,1,MOD($A89-Einstellungen!$C$6,Einstellungen!$C$7)+1)))</f>
        <v>-</v>
      </c>
      <c r="AS89" s="27" t="n">
        <f aca="false">IF($A89="","",IFERROR(VLOOKUP(AR89,Schichten!$A$5:$G$24,6,FALSE()),0))</f>
        <v>0</v>
      </c>
      <c r="AT89" s="27" t="n">
        <f aca="false">IF($A89="","",IFERROR(VLOOKUP(AR89,Schichten!$A$5:$G$24,7,FALSE()),0))</f>
        <v>0</v>
      </c>
      <c r="AU89" s="28" t="str">
        <f aca="false">IF($A89="","",IF(N(AS89)=0,"",$A89+VLOOKUP(AR89,Schichten!$A$5:$G$24,3,FALSE())))</f>
        <v/>
      </c>
      <c r="AV89" s="28" t="str">
        <f aca="false">IF(AU89="","",$A89+VLOOKUP(AR89,Schichten!$A$5:$G$24,4,FALSE())+IF(VLOOKUP(AR89,Schichten!$A$5:$G$24,4,FALSE())&lt;=VLOOKUP(AR89,Schichten!$A$5:$G$24,3,FALSE()),1,0))</f>
        <v/>
      </c>
      <c r="AW89" s="28" t="str">
        <f aca="false">IF($A89="","",IF(N(AS88)&gt;0,AV88,AW88))</f>
        <v/>
      </c>
      <c r="AX89" s="27" t="str">
        <f aca="false">IF(OR(AU89="",AW89=""),"",(AU89-AW89)*24)</f>
        <v/>
      </c>
      <c r="AY89" s="21" t="n">
        <f aca="false">IF($A89="","",IF(N(AS89)&gt;0,N(AY88)+1,0))</f>
        <v>0</v>
      </c>
      <c r="AZ89" s="21" t="n">
        <f aca="false">IF($A89="","",IF(N(AT89)&gt;0,N(AZ88)+1,0))</f>
        <v>0</v>
      </c>
      <c r="BA89" s="21" t="str">
        <f aca="false">IF($A89="","",IF(WEEKDAY($A89,2)&lt;&gt;7,"",IF(AND(OR(AU89="",N(AU89)&gt;=$A89+16/24,N(AV89)&lt;=$A89+6/24),OR(AW89="",N(AW89)&lt;=$A89+6/24)),1,0)))</f>
        <v/>
      </c>
    </row>
    <row r="90" customFormat="false" ht="15" hidden="false" customHeight="false" outlineLevel="0" collapsed="false">
      <c r="A90" s="25" t="n">
        <f aca="false">IF(YEAR(DATE(Einstellungen!$C$4,1,1)+85)=Einstellungen!$C$4,DATE(Einstellungen!$C$4,1,1)+85,"")</f>
        <v>46473</v>
      </c>
      <c r="B90" s="26" t="str">
        <f aca="false">IF($A90="","",CHOOSE(WEEKDAY($A90,2),"Mo","Di","Mi","Do","Fr","Sa","So"))</f>
        <v>Sa</v>
      </c>
      <c r="C90" s="26" t="n">
        <f aca="false">IF($A90="","",MONTH($A90))</f>
        <v>3</v>
      </c>
      <c r="D90" s="26" t="str">
        <f aca="false">IF($A90="","",IF(INDEX(Muster!$C$6:$BF$6,1,MOD($A90-Einstellungen!$C$6,Einstellungen!$C$7)+1)="","-",INDEX(Muster!$C$6:$BF$6,1,MOD($A90-Einstellungen!$C$6,Einstellungen!$C$7)+1)))</f>
        <v>S</v>
      </c>
      <c r="E90" s="27" t="n">
        <f aca="false">IF($A90="","",IFERROR(VLOOKUP(D90,Schichten!$A$5:$G$24,6,FALSE()),0))</f>
        <v>8</v>
      </c>
      <c r="F90" s="27" t="n">
        <f aca="false">IF($A90="","",IFERROR(VLOOKUP(D90,Schichten!$A$5:$G$24,7,FALSE()),0))</f>
        <v>0</v>
      </c>
      <c r="G90" s="28" t="n">
        <f aca="false">IF($A90="","",IF(N(E90)=0,"",$A90+VLOOKUP(D90,Schichten!$A$5:$G$24,3,FALSE())))</f>
        <v>46473.5833333333</v>
      </c>
      <c r="H90" s="28" t="n">
        <f aca="false">IF(G90="","",$A90+VLOOKUP(D90,Schichten!$A$5:$G$24,4,FALSE())+IF(VLOOKUP(D90,Schichten!$A$5:$G$24,4,FALSE())&lt;=VLOOKUP(D90,Schichten!$A$5:$G$24,3,FALSE()),1,0))</f>
        <v>46473.9166666667</v>
      </c>
      <c r="I90" s="28" t="n">
        <f aca="false">IF($A90="","",IF(N(E89)&gt;0,H89,I89))</f>
        <v>46472.5833333333</v>
      </c>
      <c r="J90" s="27" t="n">
        <f aca="false">IF(OR(G90="",I90=""),"",(G90-I90)*24)</f>
        <v>24</v>
      </c>
      <c r="K90" s="21" t="n">
        <f aca="false">IF($A90="","",IF(N(E90)&gt;0,N(K89)+1,0))</f>
        <v>3</v>
      </c>
      <c r="L90" s="21" t="n">
        <f aca="false">IF($A90="","",IF(N(F90)&gt;0,N(L89)+1,0))</f>
        <v>0</v>
      </c>
      <c r="M90" s="21" t="str">
        <f aca="false">IF($A90="","",IF(WEEKDAY($A90,2)&lt;&gt;7,"",IF(AND(OR(G90="",N(G90)&gt;=$A90+16/24,N(H90)&lt;=$A90+6/24),OR(I90="",N(I90)&lt;=$A90+6/24)),1,0)))</f>
        <v/>
      </c>
      <c r="N90" s="26" t="str">
        <f aca="false">IF($A90="","",IF(INDEX(Muster!$C$7:$BF$7,1,MOD($A90-Einstellungen!$C$6,Einstellungen!$C$7)+1)="","-",INDEX(Muster!$C$7:$BF$7,1,MOD($A90-Einstellungen!$C$6,Einstellungen!$C$7)+1)))</f>
        <v>F</v>
      </c>
      <c r="O90" s="27" t="n">
        <f aca="false">IF($A90="","",IFERROR(VLOOKUP(N90,Schichten!$A$5:$G$24,6,FALSE()),0))</f>
        <v>8</v>
      </c>
      <c r="P90" s="27" t="n">
        <f aca="false">IF($A90="","",IFERROR(VLOOKUP(N90,Schichten!$A$5:$G$24,7,FALSE()),0))</f>
        <v>0</v>
      </c>
      <c r="Q90" s="28" t="n">
        <f aca="false">IF($A90="","",IF(N(O90)=0,"",$A90+VLOOKUP(N90,Schichten!$A$5:$G$24,3,FALSE())))</f>
        <v>46473.25</v>
      </c>
      <c r="R90" s="28" t="n">
        <f aca="false">IF(Q90="","",$A90+VLOOKUP(N90,Schichten!$A$5:$G$24,4,FALSE())+IF(VLOOKUP(N90,Schichten!$A$5:$G$24,4,FALSE())&lt;=VLOOKUP(N90,Schichten!$A$5:$G$24,3,FALSE()),1,0))</f>
        <v>46473.5833333333</v>
      </c>
      <c r="S90" s="28" t="n">
        <f aca="false">IF($A90="","",IF(N(O89)&gt;0,R89,S89))</f>
        <v>46471.25</v>
      </c>
      <c r="T90" s="27" t="n">
        <f aca="false">IF(OR(Q90="",S90=""),"",(Q90-S90)*24)</f>
        <v>48</v>
      </c>
      <c r="U90" s="21" t="n">
        <f aca="false">IF($A90="","",IF(N(O90)&gt;0,N(U89)+1,0))</f>
        <v>1</v>
      </c>
      <c r="V90" s="21" t="n">
        <f aca="false">IF($A90="","",IF(N(P90)&gt;0,N(V89)+1,0))</f>
        <v>0</v>
      </c>
      <c r="W90" s="21" t="str">
        <f aca="false">IF($A90="","",IF(WEEKDAY($A90,2)&lt;&gt;7,"",IF(AND(OR(Q90="",N(Q90)&gt;=$A90+16/24,N(R90)&lt;=$A90+6/24),OR(S90="",N(S90)&lt;=$A90+6/24)),1,0)))</f>
        <v/>
      </c>
      <c r="X90" s="26" t="str">
        <f aca="false">IF($A90="","",IF(INDEX(Muster!$C$8:$BF$8,1,MOD($A90-Einstellungen!$C$6,Einstellungen!$C$7)+1)="","-",INDEX(Muster!$C$8:$BF$8,1,MOD($A90-Einstellungen!$C$6,Einstellungen!$C$7)+1)))</f>
        <v>-</v>
      </c>
      <c r="Y90" s="27" t="n">
        <f aca="false">IF($A90="","",IFERROR(VLOOKUP(X90,Schichten!$A$5:$G$24,6,FALSE()),0))</f>
        <v>0</v>
      </c>
      <c r="Z90" s="27" t="n">
        <f aca="false">IF($A90="","",IFERROR(VLOOKUP(X90,Schichten!$A$5:$G$24,7,FALSE()),0))</f>
        <v>0</v>
      </c>
      <c r="AA90" s="28" t="str">
        <f aca="false">IF($A90="","",IF(N(Y90)=0,"",$A90+VLOOKUP(X90,Schichten!$A$5:$G$24,3,FALSE())))</f>
        <v/>
      </c>
      <c r="AB90" s="28" t="str">
        <f aca="false">IF(AA90="","",$A90+VLOOKUP(X90,Schichten!$A$5:$G$24,4,FALSE())+IF(VLOOKUP(X90,Schichten!$A$5:$G$24,4,FALSE())&lt;=VLOOKUP(X90,Schichten!$A$5:$G$24,3,FALSE()),1,0))</f>
        <v/>
      </c>
      <c r="AC90" s="28" t="n">
        <f aca="false">IF($A90="","",IF(N(Y89)&gt;0,AB89,AC89))</f>
        <v>46473.25</v>
      </c>
      <c r="AD90" s="27" t="str">
        <f aca="false">IF(OR(AA90="",AC90=""),"",(AA90-AC90)*24)</f>
        <v/>
      </c>
      <c r="AE90" s="21" t="n">
        <f aca="false">IF($A90="","",IF(N(Y90)&gt;0,N(AE89)+1,0))</f>
        <v>0</v>
      </c>
      <c r="AF90" s="21" t="n">
        <f aca="false">IF($A90="","",IF(N(Z90)&gt;0,N(AF89)+1,0))</f>
        <v>0</v>
      </c>
      <c r="AG90" s="21" t="str">
        <f aca="false">IF($A90="","",IF(WEEKDAY($A90,2)&lt;&gt;7,"",IF(AND(OR(AA90="",N(AA90)&gt;=$A90+16/24,N(AB90)&lt;=$A90+6/24),OR(AC90="",N(AC90)&lt;=$A90+6/24)),1,0)))</f>
        <v/>
      </c>
      <c r="AH90" s="26" t="str">
        <f aca="false">IF($A90="","",IF(INDEX(Muster!$C$9:$BF$9,1,MOD($A90-Einstellungen!$C$6,Einstellungen!$C$7)+1)="","-",INDEX(Muster!$C$9:$BF$9,1,MOD($A90-Einstellungen!$C$6,Einstellungen!$C$7)+1)))</f>
        <v>N</v>
      </c>
      <c r="AI90" s="27" t="n">
        <f aca="false">IF($A90="","",IFERROR(VLOOKUP(AH90,Schichten!$A$5:$G$24,6,FALSE()),0))</f>
        <v>8</v>
      </c>
      <c r="AJ90" s="27" t="n">
        <f aca="false">IF($A90="","",IFERROR(VLOOKUP(AH90,Schichten!$A$5:$G$24,7,FALSE()),0))</f>
        <v>7</v>
      </c>
      <c r="AK90" s="28" t="n">
        <f aca="false">IF($A90="","",IF(N(AI90)=0,"",$A90+VLOOKUP(AH90,Schichten!$A$5:$G$24,3,FALSE())))</f>
        <v>46473.9166666667</v>
      </c>
      <c r="AL90" s="28" t="n">
        <f aca="false">IF(AK90="","",$A90+VLOOKUP(AH90,Schichten!$A$5:$G$24,4,FALSE())+IF(VLOOKUP(AH90,Schichten!$A$5:$G$24,4,FALSE())&lt;=VLOOKUP(AH90,Schichten!$A$5:$G$24,3,FALSE()),1,0))</f>
        <v>46474.25</v>
      </c>
      <c r="AM90" s="28" t="n">
        <f aca="false">IF($A90="","",IF(N(AI89)&gt;0,AL89,AM89))</f>
        <v>46472.9166666667</v>
      </c>
      <c r="AN90" s="27" t="n">
        <f aca="false">IF(OR(AK90="",AM90=""),"",(AK90-AM90)*24)</f>
        <v>24</v>
      </c>
      <c r="AO90" s="21" t="n">
        <f aca="false">IF($A90="","",IF(N(AI90)&gt;0,N(AO89)+1,0))</f>
        <v>5</v>
      </c>
      <c r="AP90" s="21" t="n">
        <f aca="false">IF($A90="","",IF(N(AJ90)&gt;0,N(AP89)+1,0))</f>
        <v>1</v>
      </c>
      <c r="AQ90" s="21" t="str">
        <f aca="false">IF($A90="","",IF(WEEKDAY($A90,2)&lt;&gt;7,"",IF(AND(OR(AK90="",N(AK90)&gt;=$A90+16/24,N(AL90)&lt;=$A90+6/24),OR(AM90="",N(AM90)&lt;=$A90+6/24)),1,0)))</f>
        <v/>
      </c>
      <c r="AR90" s="26" t="str">
        <f aca="false">IF($A90="","",IF(INDEX(Muster!$C$10:$BF$10,1,MOD($A90-Einstellungen!$C$6,Einstellungen!$C$7)+1)="","-",INDEX(Muster!$C$10:$BF$10,1,MOD($A90-Einstellungen!$C$6,Einstellungen!$C$7)+1)))</f>
        <v>-</v>
      </c>
      <c r="AS90" s="27" t="n">
        <f aca="false">IF($A90="","",IFERROR(VLOOKUP(AR90,Schichten!$A$5:$G$24,6,FALSE()),0))</f>
        <v>0</v>
      </c>
      <c r="AT90" s="27" t="n">
        <f aca="false">IF($A90="","",IFERROR(VLOOKUP(AR90,Schichten!$A$5:$G$24,7,FALSE()),0))</f>
        <v>0</v>
      </c>
      <c r="AU90" s="28" t="str">
        <f aca="false">IF($A90="","",IF(N(AS90)=0,"",$A90+VLOOKUP(AR90,Schichten!$A$5:$G$24,3,FALSE())))</f>
        <v/>
      </c>
      <c r="AV90" s="28" t="str">
        <f aca="false">IF(AU90="","",$A90+VLOOKUP(AR90,Schichten!$A$5:$G$24,4,FALSE())+IF(VLOOKUP(AR90,Schichten!$A$5:$G$24,4,FALSE())&lt;=VLOOKUP(AR90,Schichten!$A$5:$G$24,3,FALSE()),1,0))</f>
        <v/>
      </c>
      <c r="AW90" s="28" t="str">
        <f aca="false">IF($A90="","",IF(N(AS89)&gt;0,AV89,AW89))</f>
        <v/>
      </c>
      <c r="AX90" s="27" t="str">
        <f aca="false">IF(OR(AU90="",AW90=""),"",(AU90-AW90)*24)</f>
        <v/>
      </c>
      <c r="AY90" s="21" t="n">
        <f aca="false">IF($A90="","",IF(N(AS90)&gt;0,N(AY89)+1,0))</f>
        <v>0</v>
      </c>
      <c r="AZ90" s="21" t="n">
        <f aca="false">IF($A90="","",IF(N(AT90)&gt;0,N(AZ89)+1,0))</f>
        <v>0</v>
      </c>
      <c r="BA90" s="21" t="str">
        <f aca="false">IF($A90="","",IF(WEEKDAY($A90,2)&lt;&gt;7,"",IF(AND(OR(AU90="",N(AU90)&gt;=$A90+16/24,N(AV90)&lt;=$A90+6/24),OR(AW90="",N(AW90)&lt;=$A90+6/24)),1,0)))</f>
        <v/>
      </c>
    </row>
    <row r="91" customFormat="false" ht="15" hidden="false" customHeight="false" outlineLevel="0" collapsed="false">
      <c r="A91" s="25" t="n">
        <f aca="false">IF(YEAR(DATE(Einstellungen!$C$4,1,1)+86)=Einstellungen!$C$4,DATE(Einstellungen!$C$4,1,1)+86,"")</f>
        <v>46474</v>
      </c>
      <c r="B91" s="26" t="str">
        <f aca="false">IF($A91="","",CHOOSE(WEEKDAY($A91,2),"Mo","Di","Mi","Do","Fr","Sa","So"))</f>
        <v>So</v>
      </c>
      <c r="C91" s="26" t="n">
        <f aca="false">IF($A91="","",MONTH($A91))</f>
        <v>3</v>
      </c>
      <c r="D91" s="26" t="str">
        <f aca="false">IF($A91="","",IF(INDEX(Muster!$C$6:$BF$6,1,MOD($A91-Einstellungen!$C$6,Einstellungen!$C$7)+1)="","-",INDEX(Muster!$C$6:$BF$6,1,MOD($A91-Einstellungen!$C$6,Einstellungen!$C$7)+1)))</f>
        <v>S</v>
      </c>
      <c r="E91" s="27" t="n">
        <f aca="false">IF($A91="","",IFERROR(VLOOKUP(D91,Schichten!$A$5:$G$24,6,FALSE()),0))</f>
        <v>8</v>
      </c>
      <c r="F91" s="27" t="n">
        <f aca="false">IF($A91="","",IFERROR(VLOOKUP(D91,Schichten!$A$5:$G$24,7,FALSE()),0))</f>
        <v>0</v>
      </c>
      <c r="G91" s="28" t="n">
        <f aca="false">IF($A91="","",IF(N(E91)=0,"",$A91+VLOOKUP(D91,Schichten!$A$5:$G$24,3,FALSE())))</f>
        <v>46474.5833333333</v>
      </c>
      <c r="H91" s="28" t="n">
        <f aca="false">IF(G91="","",$A91+VLOOKUP(D91,Schichten!$A$5:$G$24,4,FALSE())+IF(VLOOKUP(D91,Schichten!$A$5:$G$24,4,FALSE())&lt;=VLOOKUP(D91,Schichten!$A$5:$G$24,3,FALSE()),1,0))</f>
        <v>46474.9166666667</v>
      </c>
      <c r="I91" s="28" t="n">
        <f aca="false">IF($A91="","",IF(N(E90)&gt;0,H90,I90))</f>
        <v>46473.9166666667</v>
      </c>
      <c r="J91" s="27" t="n">
        <f aca="false">IF(OR(G91="",I91=""),"",(G91-I91)*24)</f>
        <v>16</v>
      </c>
      <c r="K91" s="21" t="n">
        <f aca="false">IF($A91="","",IF(N(E91)&gt;0,N(K90)+1,0))</f>
        <v>4</v>
      </c>
      <c r="L91" s="21" t="n">
        <f aca="false">IF($A91="","",IF(N(F91)&gt;0,N(L90)+1,0))</f>
        <v>0</v>
      </c>
      <c r="M91" s="21" t="n">
        <f aca="false">IF($A91="","",IF(WEEKDAY($A91,2)&lt;&gt;7,"",IF(AND(OR(G91="",N(G91)&gt;=$A91+16/24,N(H91)&lt;=$A91+6/24),OR(I91="",N(I91)&lt;=$A91+6/24)),1,0)))</f>
        <v>0</v>
      </c>
      <c r="N91" s="26" t="str">
        <f aca="false">IF($A91="","",IF(INDEX(Muster!$C$7:$BF$7,1,MOD($A91-Einstellungen!$C$6,Einstellungen!$C$7)+1)="","-",INDEX(Muster!$C$7:$BF$7,1,MOD($A91-Einstellungen!$C$6,Einstellungen!$C$7)+1)))</f>
        <v>F</v>
      </c>
      <c r="O91" s="27" t="n">
        <f aca="false">IF($A91="","",IFERROR(VLOOKUP(N91,Schichten!$A$5:$G$24,6,FALSE()),0))</f>
        <v>8</v>
      </c>
      <c r="P91" s="27" t="n">
        <f aca="false">IF($A91="","",IFERROR(VLOOKUP(N91,Schichten!$A$5:$G$24,7,FALSE()),0))</f>
        <v>0</v>
      </c>
      <c r="Q91" s="28" t="n">
        <f aca="false">IF($A91="","",IF(N(O91)=0,"",$A91+VLOOKUP(N91,Schichten!$A$5:$G$24,3,FALSE())))</f>
        <v>46474.25</v>
      </c>
      <c r="R91" s="28" t="n">
        <f aca="false">IF(Q91="","",$A91+VLOOKUP(N91,Schichten!$A$5:$G$24,4,FALSE())+IF(VLOOKUP(N91,Schichten!$A$5:$G$24,4,FALSE())&lt;=VLOOKUP(N91,Schichten!$A$5:$G$24,3,FALSE()),1,0))</f>
        <v>46474.5833333333</v>
      </c>
      <c r="S91" s="28" t="n">
        <f aca="false">IF($A91="","",IF(N(O90)&gt;0,R90,S90))</f>
        <v>46473.5833333333</v>
      </c>
      <c r="T91" s="27" t="n">
        <f aca="false">IF(OR(Q91="",S91=""),"",(Q91-S91)*24)</f>
        <v>16</v>
      </c>
      <c r="U91" s="21" t="n">
        <f aca="false">IF($A91="","",IF(N(O91)&gt;0,N(U90)+1,0))</f>
        <v>2</v>
      </c>
      <c r="V91" s="21" t="n">
        <f aca="false">IF($A91="","",IF(N(P91)&gt;0,N(V90)+1,0))</f>
        <v>0</v>
      </c>
      <c r="W91" s="21" t="n">
        <f aca="false">IF($A91="","",IF(WEEKDAY($A91,2)&lt;&gt;7,"",IF(AND(OR(Q91="",N(Q91)&gt;=$A91+16/24,N(R91)&lt;=$A91+6/24),OR(S91="",N(S91)&lt;=$A91+6/24)),1,0)))</f>
        <v>0</v>
      </c>
      <c r="X91" s="26" t="str">
        <f aca="false">IF($A91="","",IF(INDEX(Muster!$C$8:$BF$8,1,MOD($A91-Einstellungen!$C$6,Einstellungen!$C$7)+1)="","-",INDEX(Muster!$C$8:$BF$8,1,MOD($A91-Einstellungen!$C$6,Einstellungen!$C$7)+1)))</f>
        <v>-</v>
      </c>
      <c r="Y91" s="27" t="n">
        <f aca="false">IF($A91="","",IFERROR(VLOOKUP(X91,Schichten!$A$5:$G$24,6,FALSE()),0))</f>
        <v>0</v>
      </c>
      <c r="Z91" s="27" t="n">
        <f aca="false">IF($A91="","",IFERROR(VLOOKUP(X91,Schichten!$A$5:$G$24,7,FALSE()),0))</f>
        <v>0</v>
      </c>
      <c r="AA91" s="28" t="str">
        <f aca="false">IF($A91="","",IF(N(Y91)=0,"",$A91+VLOOKUP(X91,Schichten!$A$5:$G$24,3,FALSE())))</f>
        <v/>
      </c>
      <c r="AB91" s="28" t="str">
        <f aca="false">IF(AA91="","",$A91+VLOOKUP(X91,Schichten!$A$5:$G$24,4,FALSE())+IF(VLOOKUP(X91,Schichten!$A$5:$G$24,4,FALSE())&lt;=VLOOKUP(X91,Schichten!$A$5:$G$24,3,FALSE()),1,0))</f>
        <v/>
      </c>
      <c r="AC91" s="28" t="n">
        <f aca="false">IF($A91="","",IF(N(Y90)&gt;0,AB90,AC90))</f>
        <v>46473.25</v>
      </c>
      <c r="AD91" s="27" t="str">
        <f aca="false">IF(OR(AA91="",AC91=""),"",(AA91-AC91)*24)</f>
        <v/>
      </c>
      <c r="AE91" s="21" t="n">
        <f aca="false">IF($A91="","",IF(N(Y91)&gt;0,N(AE90)+1,0))</f>
        <v>0</v>
      </c>
      <c r="AF91" s="21" t="n">
        <f aca="false">IF($A91="","",IF(N(Z91)&gt;0,N(AF90)+1,0))</f>
        <v>0</v>
      </c>
      <c r="AG91" s="21" t="n">
        <f aca="false">IF($A91="","",IF(WEEKDAY($A91,2)&lt;&gt;7,"",IF(AND(OR(AA91="",N(AA91)&gt;=$A91+16/24,N(AB91)&lt;=$A91+6/24),OR(AC91="",N(AC91)&lt;=$A91+6/24)),1,0)))</f>
        <v>1</v>
      </c>
      <c r="AH91" s="26" t="str">
        <f aca="false">IF($A91="","",IF(INDEX(Muster!$C$9:$BF$9,1,MOD($A91-Einstellungen!$C$6,Einstellungen!$C$7)+1)="","-",INDEX(Muster!$C$9:$BF$9,1,MOD($A91-Einstellungen!$C$6,Einstellungen!$C$7)+1)))</f>
        <v>N</v>
      </c>
      <c r="AI91" s="27" t="n">
        <f aca="false">IF($A91="","",IFERROR(VLOOKUP(AH91,Schichten!$A$5:$G$24,6,FALSE()),0))</f>
        <v>8</v>
      </c>
      <c r="AJ91" s="27" t="n">
        <f aca="false">IF($A91="","",IFERROR(VLOOKUP(AH91,Schichten!$A$5:$G$24,7,FALSE()),0))</f>
        <v>7</v>
      </c>
      <c r="AK91" s="28" t="n">
        <f aca="false">IF($A91="","",IF(N(AI91)=0,"",$A91+VLOOKUP(AH91,Schichten!$A$5:$G$24,3,FALSE())))</f>
        <v>46474.9166666667</v>
      </c>
      <c r="AL91" s="28" t="n">
        <f aca="false">IF(AK91="","",$A91+VLOOKUP(AH91,Schichten!$A$5:$G$24,4,FALSE())+IF(VLOOKUP(AH91,Schichten!$A$5:$G$24,4,FALSE())&lt;=VLOOKUP(AH91,Schichten!$A$5:$G$24,3,FALSE()),1,0))</f>
        <v>46475.25</v>
      </c>
      <c r="AM91" s="28" t="n">
        <f aca="false">IF($A91="","",IF(N(AI90)&gt;0,AL90,AM90))</f>
        <v>46474.25</v>
      </c>
      <c r="AN91" s="27" t="n">
        <f aca="false">IF(OR(AK91="",AM91=""),"",(AK91-AM91)*24)</f>
        <v>16</v>
      </c>
      <c r="AO91" s="21" t="n">
        <f aca="false">IF($A91="","",IF(N(AI91)&gt;0,N(AO90)+1,0))</f>
        <v>6</v>
      </c>
      <c r="AP91" s="21" t="n">
        <f aca="false">IF($A91="","",IF(N(AJ91)&gt;0,N(AP90)+1,0))</f>
        <v>2</v>
      </c>
      <c r="AQ91" s="21" t="n">
        <f aca="false">IF($A91="","",IF(WEEKDAY($A91,2)&lt;&gt;7,"",IF(AND(OR(AK91="",N(AK91)&gt;=$A91+16/24,N(AL91)&lt;=$A91+6/24),OR(AM91="",N(AM91)&lt;=$A91+6/24)),1,0)))</f>
        <v>1</v>
      </c>
      <c r="AR91" s="26" t="str">
        <f aca="false">IF($A91="","",IF(INDEX(Muster!$C$10:$BF$10,1,MOD($A91-Einstellungen!$C$6,Einstellungen!$C$7)+1)="","-",INDEX(Muster!$C$10:$BF$10,1,MOD($A91-Einstellungen!$C$6,Einstellungen!$C$7)+1)))</f>
        <v>-</v>
      </c>
      <c r="AS91" s="27" t="n">
        <f aca="false">IF($A91="","",IFERROR(VLOOKUP(AR91,Schichten!$A$5:$G$24,6,FALSE()),0))</f>
        <v>0</v>
      </c>
      <c r="AT91" s="27" t="n">
        <f aca="false">IF($A91="","",IFERROR(VLOOKUP(AR91,Schichten!$A$5:$G$24,7,FALSE()),0))</f>
        <v>0</v>
      </c>
      <c r="AU91" s="28" t="str">
        <f aca="false">IF($A91="","",IF(N(AS91)=0,"",$A91+VLOOKUP(AR91,Schichten!$A$5:$G$24,3,FALSE())))</f>
        <v/>
      </c>
      <c r="AV91" s="28" t="str">
        <f aca="false">IF(AU91="","",$A91+VLOOKUP(AR91,Schichten!$A$5:$G$24,4,FALSE())+IF(VLOOKUP(AR91,Schichten!$A$5:$G$24,4,FALSE())&lt;=VLOOKUP(AR91,Schichten!$A$5:$G$24,3,FALSE()),1,0))</f>
        <v/>
      </c>
      <c r="AW91" s="28" t="str">
        <f aca="false">IF($A91="","",IF(N(AS90)&gt;0,AV90,AW90))</f>
        <v/>
      </c>
      <c r="AX91" s="27" t="str">
        <f aca="false">IF(OR(AU91="",AW91=""),"",(AU91-AW91)*24)</f>
        <v/>
      </c>
      <c r="AY91" s="21" t="n">
        <f aca="false">IF($A91="","",IF(N(AS91)&gt;0,N(AY90)+1,0))</f>
        <v>0</v>
      </c>
      <c r="AZ91" s="21" t="n">
        <f aca="false">IF($A91="","",IF(N(AT91)&gt;0,N(AZ90)+1,0))</f>
        <v>0</v>
      </c>
      <c r="BA91" s="21" t="n">
        <f aca="false">IF($A91="","",IF(WEEKDAY($A91,2)&lt;&gt;7,"",IF(AND(OR(AU91="",N(AU91)&gt;=$A91+16/24,N(AV91)&lt;=$A91+6/24),OR(AW91="",N(AW91)&lt;=$A91+6/24)),1,0)))</f>
        <v>1</v>
      </c>
    </row>
    <row r="92" customFormat="false" ht="15" hidden="false" customHeight="false" outlineLevel="0" collapsed="false">
      <c r="A92" s="25" t="n">
        <f aca="false">IF(YEAR(DATE(Einstellungen!$C$4,1,1)+87)=Einstellungen!$C$4,DATE(Einstellungen!$C$4,1,1)+87,"")</f>
        <v>46475</v>
      </c>
      <c r="B92" s="26" t="str">
        <f aca="false">IF($A92="","",CHOOSE(WEEKDAY($A92,2),"Mo","Di","Mi","Do","Fr","Sa","So"))</f>
        <v>Mo</v>
      </c>
      <c r="C92" s="26" t="n">
        <f aca="false">IF($A92="","",MONTH($A92))</f>
        <v>3</v>
      </c>
      <c r="D92" s="26" t="str">
        <f aca="false">IF($A92="","",IF(INDEX(Muster!$C$6:$BF$6,1,MOD($A92-Einstellungen!$C$6,Einstellungen!$C$7)+1)="","-",INDEX(Muster!$C$6:$BF$6,1,MOD($A92-Einstellungen!$C$6,Einstellungen!$C$7)+1)))</f>
        <v>N</v>
      </c>
      <c r="E92" s="27" t="n">
        <f aca="false">IF($A92="","",IFERROR(VLOOKUP(D92,Schichten!$A$5:$G$24,6,FALSE()),0))</f>
        <v>8</v>
      </c>
      <c r="F92" s="27" t="n">
        <f aca="false">IF($A92="","",IFERROR(VLOOKUP(D92,Schichten!$A$5:$G$24,7,FALSE()),0))</f>
        <v>7</v>
      </c>
      <c r="G92" s="28" t="n">
        <f aca="false">IF($A92="","",IF(N(E92)=0,"",$A92+VLOOKUP(D92,Schichten!$A$5:$G$24,3,FALSE())))</f>
        <v>46475.9166666667</v>
      </c>
      <c r="H92" s="28" t="n">
        <f aca="false">IF(G92="","",$A92+VLOOKUP(D92,Schichten!$A$5:$G$24,4,FALSE())+IF(VLOOKUP(D92,Schichten!$A$5:$G$24,4,FALSE())&lt;=VLOOKUP(D92,Schichten!$A$5:$G$24,3,FALSE()),1,0))</f>
        <v>46476.25</v>
      </c>
      <c r="I92" s="28" t="n">
        <f aca="false">IF($A92="","",IF(N(E91)&gt;0,H91,I91))</f>
        <v>46474.9166666667</v>
      </c>
      <c r="J92" s="27" t="n">
        <f aca="false">IF(OR(G92="",I92=""),"",(G92-I92)*24)</f>
        <v>24</v>
      </c>
      <c r="K92" s="21" t="n">
        <f aca="false">IF($A92="","",IF(N(E92)&gt;0,N(K91)+1,0))</f>
        <v>5</v>
      </c>
      <c r="L92" s="21" t="n">
        <f aca="false">IF($A92="","",IF(N(F92)&gt;0,N(L91)+1,0))</f>
        <v>1</v>
      </c>
      <c r="M92" s="21" t="str">
        <f aca="false">IF($A92="","",IF(WEEKDAY($A92,2)&lt;&gt;7,"",IF(AND(OR(G92="",N(G92)&gt;=$A92+16/24,N(H92)&lt;=$A92+6/24),OR(I92="",N(I92)&lt;=$A92+6/24)),1,0)))</f>
        <v/>
      </c>
      <c r="N92" s="26" t="str">
        <f aca="false">IF($A92="","",IF(INDEX(Muster!$C$7:$BF$7,1,MOD($A92-Einstellungen!$C$6,Einstellungen!$C$7)+1)="","-",INDEX(Muster!$C$7:$BF$7,1,MOD($A92-Einstellungen!$C$6,Einstellungen!$C$7)+1)))</f>
        <v>S</v>
      </c>
      <c r="O92" s="27" t="n">
        <f aca="false">IF($A92="","",IFERROR(VLOOKUP(N92,Schichten!$A$5:$G$24,6,FALSE()),0))</f>
        <v>8</v>
      </c>
      <c r="P92" s="27" t="n">
        <f aca="false">IF($A92="","",IFERROR(VLOOKUP(N92,Schichten!$A$5:$G$24,7,FALSE()),0))</f>
        <v>0</v>
      </c>
      <c r="Q92" s="28" t="n">
        <f aca="false">IF($A92="","",IF(N(O92)=0,"",$A92+VLOOKUP(N92,Schichten!$A$5:$G$24,3,FALSE())))</f>
        <v>46475.5833333333</v>
      </c>
      <c r="R92" s="28" t="n">
        <f aca="false">IF(Q92="","",$A92+VLOOKUP(N92,Schichten!$A$5:$G$24,4,FALSE())+IF(VLOOKUP(N92,Schichten!$A$5:$G$24,4,FALSE())&lt;=VLOOKUP(N92,Schichten!$A$5:$G$24,3,FALSE()),1,0))</f>
        <v>46475.9166666667</v>
      </c>
      <c r="S92" s="28" t="n">
        <f aca="false">IF($A92="","",IF(N(O91)&gt;0,R91,S91))</f>
        <v>46474.5833333333</v>
      </c>
      <c r="T92" s="27" t="n">
        <f aca="false">IF(OR(Q92="",S92=""),"",(Q92-S92)*24)</f>
        <v>24</v>
      </c>
      <c r="U92" s="21" t="n">
        <f aca="false">IF($A92="","",IF(N(O92)&gt;0,N(U91)+1,0))</f>
        <v>3</v>
      </c>
      <c r="V92" s="21" t="n">
        <f aca="false">IF($A92="","",IF(N(P92)&gt;0,N(V91)+1,0))</f>
        <v>0</v>
      </c>
      <c r="W92" s="21" t="str">
        <f aca="false">IF($A92="","",IF(WEEKDAY($A92,2)&lt;&gt;7,"",IF(AND(OR(Q92="",N(Q92)&gt;=$A92+16/24,N(R92)&lt;=$A92+6/24),OR(S92="",N(S92)&lt;=$A92+6/24)),1,0)))</f>
        <v/>
      </c>
      <c r="X92" s="26" t="str">
        <f aca="false">IF($A92="","",IF(INDEX(Muster!$C$8:$BF$8,1,MOD($A92-Einstellungen!$C$6,Einstellungen!$C$7)+1)="","-",INDEX(Muster!$C$8:$BF$8,1,MOD($A92-Einstellungen!$C$6,Einstellungen!$C$7)+1)))</f>
        <v>F</v>
      </c>
      <c r="Y92" s="27" t="n">
        <f aca="false">IF($A92="","",IFERROR(VLOOKUP(X92,Schichten!$A$5:$G$24,6,FALSE()),0))</f>
        <v>8</v>
      </c>
      <c r="Z92" s="27" t="n">
        <f aca="false">IF($A92="","",IFERROR(VLOOKUP(X92,Schichten!$A$5:$G$24,7,FALSE()),0))</f>
        <v>0</v>
      </c>
      <c r="AA92" s="28" t="n">
        <f aca="false">IF($A92="","",IF(N(Y92)=0,"",$A92+VLOOKUP(X92,Schichten!$A$5:$G$24,3,FALSE())))</f>
        <v>46475.25</v>
      </c>
      <c r="AB92" s="28" t="n">
        <f aca="false">IF(AA92="","",$A92+VLOOKUP(X92,Schichten!$A$5:$G$24,4,FALSE())+IF(VLOOKUP(X92,Schichten!$A$5:$G$24,4,FALSE())&lt;=VLOOKUP(X92,Schichten!$A$5:$G$24,3,FALSE()),1,0))</f>
        <v>46475.5833333333</v>
      </c>
      <c r="AC92" s="28" t="n">
        <f aca="false">IF($A92="","",IF(N(Y91)&gt;0,AB91,AC91))</f>
        <v>46473.25</v>
      </c>
      <c r="AD92" s="27" t="n">
        <f aca="false">IF(OR(AA92="",AC92=""),"",(AA92-AC92)*24)</f>
        <v>48</v>
      </c>
      <c r="AE92" s="21" t="n">
        <f aca="false">IF($A92="","",IF(N(Y92)&gt;0,N(AE91)+1,0))</f>
        <v>1</v>
      </c>
      <c r="AF92" s="21" t="n">
        <f aca="false">IF($A92="","",IF(N(Z92)&gt;0,N(AF91)+1,0))</f>
        <v>0</v>
      </c>
      <c r="AG92" s="21" t="str">
        <f aca="false">IF($A92="","",IF(WEEKDAY($A92,2)&lt;&gt;7,"",IF(AND(OR(AA92="",N(AA92)&gt;=$A92+16/24,N(AB92)&lt;=$A92+6/24),OR(AC92="",N(AC92)&lt;=$A92+6/24)),1,0)))</f>
        <v/>
      </c>
      <c r="AH92" s="26" t="str">
        <f aca="false">IF($A92="","",IF(INDEX(Muster!$C$9:$BF$9,1,MOD($A92-Einstellungen!$C$6,Einstellungen!$C$7)+1)="","-",INDEX(Muster!$C$9:$BF$9,1,MOD($A92-Einstellungen!$C$6,Einstellungen!$C$7)+1)))</f>
        <v>-</v>
      </c>
      <c r="AI92" s="27" t="n">
        <f aca="false">IF($A92="","",IFERROR(VLOOKUP(AH92,Schichten!$A$5:$G$24,6,FALSE()),0))</f>
        <v>0</v>
      </c>
      <c r="AJ92" s="27" t="n">
        <f aca="false">IF($A92="","",IFERROR(VLOOKUP(AH92,Schichten!$A$5:$G$24,7,FALSE()),0))</f>
        <v>0</v>
      </c>
      <c r="AK92" s="28" t="str">
        <f aca="false">IF($A92="","",IF(N(AI92)=0,"",$A92+VLOOKUP(AH92,Schichten!$A$5:$G$24,3,FALSE())))</f>
        <v/>
      </c>
      <c r="AL92" s="28" t="str">
        <f aca="false">IF(AK92="","",$A92+VLOOKUP(AH92,Schichten!$A$5:$G$24,4,FALSE())+IF(VLOOKUP(AH92,Schichten!$A$5:$G$24,4,FALSE())&lt;=VLOOKUP(AH92,Schichten!$A$5:$G$24,3,FALSE()),1,0))</f>
        <v/>
      </c>
      <c r="AM92" s="28" t="n">
        <f aca="false">IF($A92="","",IF(N(AI91)&gt;0,AL91,AM91))</f>
        <v>46475.25</v>
      </c>
      <c r="AN92" s="27" t="str">
        <f aca="false">IF(OR(AK92="",AM92=""),"",(AK92-AM92)*24)</f>
        <v/>
      </c>
      <c r="AO92" s="21" t="n">
        <f aca="false">IF($A92="","",IF(N(AI92)&gt;0,N(AO91)+1,0))</f>
        <v>0</v>
      </c>
      <c r="AP92" s="21" t="n">
        <f aca="false">IF($A92="","",IF(N(AJ92)&gt;0,N(AP91)+1,0))</f>
        <v>0</v>
      </c>
      <c r="AQ92" s="21" t="str">
        <f aca="false">IF($A92="","",IF(WEEKDAY($A92,2)&lt;&gt;7,"",IF(AND(OR(AK92="",N(AK92)&gt;=$A92+16/24,N(AL92)&lt;=$A92+6/24),OR(AM92="",N(AM92)&lt;=$A92+6/24)),1,0)))</f>
        <v/>
      </c>
      <c r="AR92" s="26" t="str">
        <f aca="false">IF($A92="","",IF(INDEX(Muster!$C$10:$BF$10,1,MOD($A92-Einstellungen!$C$6,Einstellungen!$C$7)+1)="","-",INDEX(Muster!$C$10:$BF$10,1,MOD($A92-Einstellungen!$C$6,Einstellungen!$C$7)+1)))</f>
        <v>-</v>
      </c>
      <c r="AS92" s="27" t="n">
        <f aca="false">IF($A92="","",IFERROR(VLOOKUP(AR92,Schichten!$A$5:$G$24,6,FALSE()),0))</f>
        <v>0</v>
      </c>
      <c r="AT92" s="27" t="n">
        <f aca="false">IF($A92="","",IFERROR(VLOOKUP(AR92,Schichten!$A$5:$G$24,7,FALSE()),0))</f>
        <v>0</v>
      </c>
      <c r="AU92" s="28" t="str">
        <f aca="false">IF($A92="","",IF(N(AS92)=0,"",$A92+VLOOKUP(AR92,Schichten!$A$5:$G$24,3,FALSE())))</f>
        <v/>
      </c>
      <c r="AV92" s="28" t="str">
        <f aca="false">IF(AU92="","",$A92+VLOOKUP(AR92,Schichten!$A$5:$G$24,4,FALSE())+IF(VLOOKUP(AR92,Schichten!$A$5:$G$24,4,FALSE())&lt;=VLOOKUP(AR92,Schichten!$A$5:$G$24,3,FALSE()),1,0))</f>
        <v/>
      </c>
      <c r="AW92" s="28" t="str">
        <f aca="false">IF($A92="","",IF(N(AS91)&gt;0,AV91,AW91))</f>
        <v/>
      </c>
      <c r="AX92" s="27" t="str">
        <f aca="false">IF(OR(AU92="",AW92=""),"",(AU92-AW92)*24)</f>
        <v/>
      </c>
      <c r="AY92" s="21" t="n">
        <f aca="false">IF($A92="","",IF(N(AS92)&gt;0,N(AY91)+1,0))</f>
        <v>0</v>
      </c>
      <c r="AZ92" s="21" t="n">
        <f aca="false">IF($A92="","",IF(N(AT92)&gt;0,N(AZ91)+1,0))</f>
        <v>0</v>
      </c>
      <c r="BA92" s="21" t="str">
        <f aca="false">IF($A92="","",IF(WEEKDAY($A92,2)&lt;&gt;7,"",IF(AND(OR(AU92="",N(AU92)&gt;=$A92+16/24,N(AV92)&lt;=$A92+6/24),OR(AW92="",N(AW92)&lt;=$A92+6/24)),1,0)))</f>
        <v/>
      </c>
    </row>
    <row r="93" customFormat="false" ht="15" hidden="false" customHeight="false" outlineLevel="0" collapsed="false">
      <c r="A93" s="25" t="n">
        <f aca="false">IF(YEAR(DATE(Einstellungen!$C$4,1,1)+88)=Einstellungen!$C$4,DATE(Einstellungen!$C$4,1,1)+88,"")</f>
        <v>46476</v>
      </c>
      <c r="B93" s="26" t="str">
        <f aca="false">IF($A93="","",CHOOSE(WEEKDAY($A93,2),"Mo","Di","Mi","Do","Fr","Sa","So"))</f>
        <v>Di</v>
      </c>
      <c r="C93" s="26" t="n">
        <f aca="false">IF($A93="","",MONTH($A93))</f>
        <v>3</v>
      </c>
      <c r="D93" s="26" t="str">
        <f aca="false">IF($A93="","",IF(INDEX(Muster!$C$6:$BF$6,1,MOD($A93-Einstellungen!$C$6,Einstellungen!$C$7)+1)="","-",INDEX(Muster!$C$6:$BF$6,1,MOD($A93-Einstellungen!$C$6,Einstellungen!$C$7)+1)))</f>
        <v>N</v>
      </c>
      <c r="E93" s="27" t="n">
        <f aca="false">IF($A93="","",IFERROR(VLOOKUP(D93,Schichten!$A$5:$G$24,6,FALSE()),0))</f>
        <v>8</v>
      </c>
      <c r="F93" s="27" t="n">
        <f aca="false">IF($A93="","",IFERROR(VLOOKUP(D93,Schichten!$A$5:$G$24,7,FALSE()),0))</f>
        <v>7</v>
      </c>
      <c r="G93" s="28" t="n">
        <f aca="false">IF($A93="","",IF(N(E93)=0,"",$A93+VLOOKUP(D93,Schichten!$A$5:$G$24,3,FALSE())))</f>
        <v>46476.9166666667</v>
      </c>
      <c r="H93" s="28" t="n">
        <f aca="false">IF(G93="","",$A93+VLOOKUP(D93,Schichten!$A$5:$G$24,4,FALSE())+IF(VLOOKUP(D93,Schichten!$A$5:$G$24,4,FALSE())&lt;=VLOOKUP(D93,Schichten!$A$5:$G$24,3,FALSE()),1,0))</f>
        <v>46477.25</v>
      </c>
      <c r="I93" s="28" t="n">
        <f aca="false">IF($A93="","",IF(N(E92)&gt;0,H92,I92))</f>
        <v>46476.25</v>
      </c>
      <c r="J93" s="27" t="n">
        <f aca="false">IF(OR(G93="",I93=""),"",(G93-I93)*24)</f>
        <v>16</v>
      </c>
      <c r="K93" s="21" t="n">
        <f aca="false">IF($A93="","",IF(N(E93)&gt;0,N(K92)+1,0))</f>
        <v>6</v>
      </c>
      <c r="L93" s="21" t="n">
        <f aca="false">IF($A93="","",IF(N(F93)&gt;0,N(L92)+1,0))</f>
        <v>2</v>
      </c>
      <c r="M93" s="21" t="str">
        <f aca="false">IF($A93="","",IF(WEEKDAY($A93,2)&lt;&gt;7,"",IF(AND(OR(G93="",N(G93)&gt;=$A93+16/24,N(H93)&lt;=$A93+6/24),OR(I93="",N(I93)&lt;=$A93+6/24)),1,0)))</f>
        <v/>
      </c>
      <c r="N93" s="26" t="str">
        <f aca="false">IF($A93="","",IF(INDEX(Muster!$C$7:$BF$7,1,MOD($A93-Einstellungen!$C$6,Einstellungen!$C$7)+1)="","-",INDEX(Muster!$C$7:$BF$7,1,MOD($A93-Einstellungen!$C$6,Einstellungen!$C$7)+1)))</f>
        <v>S</v>
      </c>
      <c r="O93" s="27" t="n">
        <f aca="false">IF($A93="","",IFERROR(VLOOKUP(N93,Schichten!$A$5:$G$24,6,FALSE()),0))</f>
        <v>8</v>
      </c>
      <c r="P93" s="27" t="n">
        <f aca="false">IF($A93="","",IFERROR(VLOOKUP(N93,Schichten!$A$5:$G$24,7,FALSE()),0))</f>
        <v>0</v>
      </c>
      <c r="Q93" s="28" t="n">
        <f aca="false">IF($A93="","",IF(N(O93)=0,"",$A93+VLOOKUP(N93,Schichten!$A$5:$G$24,3,FALSE())))</f>
        <v>46476.5833333333</v>
      </c>
      <c r="R93" s="28" t="n">
        <f aca="false">IF(Q93="","",$A93+VLOOKUP(N93,Schichten!$A$5:$G$24,4,FALSE())+IF(VLOOKUP(N93,Schichten!$A$5:$G$24,4,FALSE())&lt;=VLOOKUP(N93,Schichten!$A$5:$G$24,3,FALSE()),1,0))</f>
        <v>46476.9166666667</v>
      </c>
      <c r="S93" s="28" t="n">
        <f aca="false">IF($A93="","",IF(N(O92)&gt;0,R92,S92))</f>
        <v>46475.9166666667</v>
      </c>
      <c r="T93" s="27" t="n">
        <f aca="false">IF(OR(Q93="",S93=""),"",(Q93-S93)*24)</f>
        <v>16</v>
      </c>
      <c r="U93" s="21" t="n">
        <f aca="false">IF($A93="","",IF(N(O93)&gt;0,N(U92)+1,0))</f>
        <v>4</v>
      </c>
      <c r="V93" s="21" t="n">
        <f aca="false">IF($A93="","",IF(N(P93)&gt;0,N(V92)+1,0))</f>
        <v>0</v>
      </c>
      <c r="W93" s="21" t="str">
        <f aca="false">IF($A93="","",IF(WEEKDAY($A93,2)&lt;&gt;7,"",IF(AND(OR(Q93="",N(Q93)&gt;=$A93+16/24,N(R93)&lt;=$A93+6/24),OR(S93="",N(S93)&lt;=$A93+6/24)),1,0)))</f>
        <v/>
      </c>
      <c r="X93" s="26" t="str">
        <f aca="false">IF($A93="","",IF(INDEX(Muster!$C$8:$BF$8,1,MOD($A93-Einstellungen!$C$6,Einstellungen!$C$7)+1)="","-",INDEX(Muster!$C$8:$BF$8,1,MOD($A93-Einstellungen!$C$6,Einstellungen!$C$7)+1)))</f>
        <v>F</v>
      </c>
      <c r="Y93" s="27" t="n">
        <f aca="false">IF($A93="","",IFERROR(VLOOKUP(X93,Schichten!$A$5:$G$24,6,FALSE()),0))</f>
        <v>8</v>
      </c>
      <c r="Z93" s="27" t="n">
        <f aca="false">IF($A93="","",IFERROR(VLOOKUP(X93,Schichten!$A$5:$G$24,7,FALSE()),0))</f>
        <v>0</v>
      </c>
      <c r="AA93" s="28" t="n">
        <f aca="false">IF($A93="","",IF(N(Y93)=0,"",$A93+VLOOKUP(X93,Schichten!$A$5:$G$24,3,FALSE())))</f>
        <v>46476.25</v>
      </c>
      <c r="AB93" s="28" t="n">
        <f aca="false">IF(AA93="","",$A93+VLOOKUP(X93,Schichten!$A$5:$G$24,4,FALSE())+IF(VLOOKUP(X93,Schichten!$A$5:$G$24,4,FALSE())&lt;=VLOOKUP(X93,Schichten!$A$5:$G$24,3,FALSE()),1,0))</f>
        <v>46476.5833333333</v>
      </c>
      <c r="AC93" s="28" t="n">
        <f aca="false">IF($A93="","",IF(N(Y92)&gt;0,AB92,AC92))</f>
        <v>46475.5833333333</v>
      </c>
      <c r="AD93" s="27" t="n">
        <f aca="false">IF(OR(AA93="",AC93=""),"",(AA93-AC93)*24)</f>
        <v>16</v>
      </c>
      <c r="AE93" s="21" t="n">
        <f aca="false">IF($A93="","",IF(N(Y93)&gt;0,N(AE92)+1,0))</f>
        <v>2</v>
      </c>
      <c r="AF93" s="21" t="n">
        <f aca="false">IF($A93="","",IF(N(Z93)&gt;0,N(AF92)+1,0))</f>
        <v>0</v>
      </c>
      <c r="AG93" s="21" t="str">
        <f aca="false">IF($A93="","",IF(WEEKDAY($A93,2)&lt;&gt;7,"",IF(AND(OR(AA93="",N(AA93)&gt;=$A93+16/24,N(AB93)&lt;=$A93+6/24),OR(AC93="",N(AC93)&lt;=$A93+6/24)),1,0)))</f>
        <v/>
      </c>
      <c r="AH93" s="26" t="str">
        <f aca="false">IF($A93="","",IF(INDEX(Muster!$C$9:$BF$9,1,MOD($A93-Einstellungen!$C$6,Einstellungen!$C$7)+1)="","-",INDEX(Muster!$C$9:$BF$9,1,MOD($A93-Einstellungen!$C$6,Einstellungen!$C$7)+1)))</f>
        <v>-</v>
      </c>
      <c r="AI93" s="27" t="n">
        <f aca="false">IF($A93="","",IFERROR(VLOOKUP(AH93,Schichten!$A$5:$G$24,6,FALSE()),0))</f>
        <v>0</v>
      </c>
      <c r="AJ93" s="27" t="n">
        <f aca="false">IF($A93="","",IFERROR(VLOOKUP(AH93,Schichten!$A$5:$G$24,7,FALSE()),0))</f>
        <v>0</v>
      </c>
      <c r="AK93" s="28" t="str">
        <f aca="false">IF($A93="","",IF(N(AI93)=0,"",$A93+VLOOKUP(AH93,Schichten!$A$5:$G$24,3,FALSE())))</f>
        <v/>
      </c>
      <c r="AL93" s="28" t="str">
        <f aca="false">IF(AK93="","",$A93+VLOOKUP(AH93,Schichten!$A$5:$G$24,4,FALSE())+IF(VLOOKUP(AH93,Schichten!$A$5:$G$24,4,FALSE())&lt;=VLOOKUP(AH93,Schichten!$A$5:$G$24,3,FALSE()),1,0))</f>
        <v/>
      </c>
      <c r="AM93" s="28" t="n">
        <f aca="false">IF($A93="","",IF(N(AI92)&gt;0,AL92,AM92))</f>
        <v>46475.25</v>
      </c>
      <c r="AN93" s="27" t="str">
        <f aca="false">IF(OR(AK93="",AM93=""),"",(AK93-AM93)*24)</f>
        <v/>
      </c>
      <c r="AO93" s="21" t="n">
        <f aca="false">IF($A93="","",IF(N(AI93)&gt;0,N(AO92)+1,0))</f>
        <v>0</v>
      </c>
      <c r="AP93" s="21" t="n">
        <f aca="false">IF($A93="","",IF(N(AJ93)&gt;0,N(AP92)+1,0))</f>
        <v>0</v>
      </c>
      <c r="AQ93" s="21" t="str">
        <f aca="false">IF($A93="","",IF(WEEKDAY($A93,2)&lt;&gt;7,"",IF(AND(OR(AK93="",N(AK93)&gt;=$A93+16/24,N(AL93)&lt;=$A93+6/24),OR(AM93="",N(AM93)&lt;=$A93+6/24)),1,0)))</f>
        <v/>
      </c>
      <c r="AR93" s="26" t="str">
        <f aca="false">IF($A93="","",IF(INDEX(Muster!$C$10:$BF$10,1,MOD($A93-Einstellungen!$C$6,Einstellungen!$C$7)+1)="","-",INDEX(Muster!$C$10:$BF$10,1,MOD($A93-Einstellungen!$C$6,Einstellungen!$C$7)+1)))</f>
        <v>-</v>
      </c>
      <c r="AS93" s="27" t="n">
        <f aca="false">IF($A93="","",IFERROR(VLOOKUP(AR93,Schichten!$A$5:$G$24,6,FALSE()),0))</f>
        <v>0</v>
      </c>
      <c r="AT93" s="27" t="n">
        <f aca="false">IF($A93="","",IFERROR(VLOOKUP(AR93,Schichten!$A$5:$G$24,7,FALSE()),0))</f>
        <v>0</v>
      </c>
      <c r="AU93" s="28" t="str">
        <f aca="false">IF($A93="","",IF(N(AS93)=0,"",$A93+VLOOKUP(AR93,Schichten!$A$5:$G$24,3,FALSE())))</f>
        <v/>
      </c>
      <c r="AV93" s="28" t="str">
        <f aca="false">IF(AU93="","",$A93+VLOOKUP(AR93,Schichten!$A$5:$G$24,4,FALSE())+IF(VLOOKUP(AR93,Schichten!$A$5:$G$24,4,FALSE())&lt;=VLOOKUP(AR93,Schichten!$A$5:$G$24,3,FALSE()),1,0))</f>
        <v/>
      </c>
      <c r="AW93" s="28" t="str">
        <f aca="false">IF($A93="","",IF(N(AS92)&gt;0,AV92,AW92))</f>
        <v/>
      </c>
      <c r="AX93" s="27" t="str">
        <f aca="false">IF(OR(AU93="",AW93=""),"",(AU93-AW93)*24)</f>
        <v/>
      </c>
      <c r="AY93" s="21" t="n">
        <f aca="false">IF($A93="","",IF(N(AS93)&gt;0,N(AY92)+1,0))</f>
        <v>0</v>
      </c>
      <c r="AZ93" s="21" t="n">
        <f aca="false">IF($A93="","",IF(N(AT93)&gt;0,N(AZ92)+1,0))</f>
        <v>0</v>
      </c>
      <c r="BA93" s="21" t="str">
        <f aca="false">IF($A93="","",IF(WEEKDAY($A93,2)&lt;&gt;7,"",IF(AND(OR(AU93="",N(AU93)&gt;=$A93+16/24,N(AV93)&lt;=$A93+6/24),OR(AW93="",N(AW93)&lt;=$A93+6/24)),1,0)))</f>
        <v/>
      </c>
    </row>
    <row r="94" customFormat="false" ht="15" hidden="false" customHeight="false" outlineLevel="0" collapsed="false">
      <c r="A94" s="25" t="n">
        <f aca="false">IF(YEAR(DATE(Einstellungen!$C$4,1,1)+89)=Einstellungen!$C$4,DATE(Einstellungen!$C$4,1,1)+89,"")</f>
        <v>46477</v>
      </c>
      <c r="B94" s="26" t="str">
        <f aca="false">IF($A94="","",CHOOSE(WEEKDAY($A94,2),"Mo","Di","Mi","Do","Fr","Sa","So"))</f>
        <v>Mi</v>
      </c>
      <c r="C94" s="26" t="n">
        <f aca="false">IF($A94="","",MONTH($A94))</f>
        <v>3</v>
      </c>
      <c r="D94" s="26" t="str">
        <f aca="false">IF($A94="","",IF(INDEX(Muster!$C$6:$BF$6,1,MOD($A94-Einstellungen!$C$6,Einstellungen!$C$7)+1)="","-",INDEX(Muster!$C$6:$BF$6,1,MOD($A94-Einstellungen!$C$6,Einstellungen!$C$7)+1)))</f>
        <v>-</v>
      </c>
      <c r="E94" s="27" t="n">
        <f aca="false">IF($A94="","",IFERROR(VLOOKUP(D94,Schichten!$A$5:$G$24,6,FALSE()),0))</f>
        <v>0</v>
      </c>
      <c r="F94" s="27" t="n">
        <f aca="false">IF($A94="","",IFERROR(VLOOKUP(D94,Schichten!$A$5:$G$24,7,FALSE()),0))</f>
        <v>0</v>
      </c>
      <c r="G94" s="28" t="str">
        <f aca="false">IF($A94="","",IF(N(E94)=0,"",$A94+VLOOKUP(D94,Schichten!$A$5:$G$24,3,FALSE())))</f>
        <v/>
      </c>
      <c r="H94" s="28" t="str">
        <f aca="false">IF(G94="","",$A94+VLOOKUP(D94,Schichten!$A$5:$G$24,4,FALSE())+IF(VLOOKUP(D94,Schichten!$A$5:$G$24,4,FALSE())&lt;=VLOOKUP(D94,Schichten!$A$5:$G$24,3,FALSE()),1,0))</f>
        <v/>
      </c>
      <c r="I94" s="28" t="n">
        <f aca="false">IF($A94="","",IF(N(E93)&gt;0,H93,I93))</f>
        <v>46477.25</v>
      </c>
      <c r="J94" s="27" t="str">
        <f aca="false">IF(OR(G94="",I94=""),"",(G94-I94)*24)</f>
        <v/>
      </c>
      <c r="K94" s="21" t="n">
        <f aca="false">IF($A94="","",IF(N(E94)&gt;0,N(K93)+1,0))</f>
        <v>0</v>
      </c>
      <c r="L94" s="21" t="n">
        <f aca="false">IF($A94="","",IF(N(F94)&gt;0,N(L93)+1,0))</f>
        <v>0</v>
      </c>
      <c r="M94" s="21" t="str">
        <f aca="false">IF($A94="","",IF(WEEKDAY($A94,2)&lt;&gt;7,"",IF(AND(OR(G94="",N(G94)&gt;=$A94+16/24,N(H94)&lt;=$A94+6/24),OR(I94="",N(I94)&lt;=$A94+6/24)),1,0)))</f>
        <v/>
      </c>
      <c r="N94" s="26" t="str">
        <f aca="false">IF($A94="","",IF(INDEX(Muster!$C$7:$BF$7,1,MOD($A94-Einstellungen!$C$6,Einstellungen!$C$7)+1)="","-",INDEX(Muster!$C$7:$BF$7,1,MOD($A94-Einstellungen!$C$6,Einstellungen!$C$7)+1)))</f>
        <v>N</v>
      </c>
      <c r="O94" s="27" t="n">
        <f aca="false">IF($A94="","",IFERROR(VLOOKUP(N94,Schichten!$A$5:$G$24,6,FALSE()),0))</f>
        <v>8</v>
      </c>
      <c r="P94" s="27" t="n">
        <f aca="false">IF($A94="","",IFERROR(VLOOKUP(N94,Schichten!$A$5:$G$24,7,FALSE()),0))</f>
        <v>7</v>
      </c>
      <c r="Q94" s="28" t="n">
        <f aca="false">IF($A94="","",IF(N(O94)=0,"",$A94+VLOOKUP(N94,Schichten!$A$5:$G$24,3,FALSE())))</f>
        <v>46477.9166666667</v>
      </c>
      <c r="R94" s="28" t="n">
        <f aca="false">IF(Q94="","",$A94+VLOOKUP(N94,Schichten!$A$5:$G$24,4,FALSE())+IF(VLOOKUP(N94,Schichten!$A$5:$G$24,4,FALSE())&lt;=VLOOKUP(N94,Schichten!$A$5:$G$24,3,FALSE()),1,0))</f>
        <v>46478.25</v>
      </c>
      <c r="S94" s="28" t="n">
        <f aca="false">IF($A94="","",IF(N(O93)&gt;0,R93,S93))</f>
        <v>46476.9166666667</v>
      </c>
      <c r="T94" s="27" t="n">
        <f aca="false">IF(OR(Q94="",S94=""),"",(Q94-S94)*24)</f>
        <v>24</v>
      </c>
      <c r="U94" s="21" t="n">
        <f aca="false">IF($A94="","",IF(N(O94)&gt;0,N(U93)+1,0))</f>
        <v>5</v>
      </c>
      <c r="V94" s="21" t="n">
        <f aca="false">IF($A94="","",IF(N(P94)&gt;0,N(V93)+1,0))</f>
        <v>1</v>
      </c>
      <c r="W94" s="21" t="str">
        <f aca="false">IF($A94="","",IF(WEEKDAY($A94,2)&lt;&gt;7,"",IF(AND(OR(Q94="",N(Q94)&gt;=$A94+16/24,N(R94)&lt;=$A94+6/24),OR(S94="",N(S94)&lt;=$A94+6/24)),1,0)))</f>
        <v/>
      </c>
      <c r="X94" s="26" t="str">
        <f aca="false">IF($A94="","",IF(INDEX(Muster!$C$8:$BF$8,1,MOD($A94-Einstellungen!$C$6,Einstellungen!$C$7)+1)="","-",INDEX(Muster!$C$8:$BF$8,1,MOD($A94-Einstellungen!$C$6,Einstellungen!$C$7)+1)))</f>
        <v>S</v>
      </c>
      <c r="Y94" s="27" t="n">
        <f aca="false">IF($A94="","",IFERROR(VLOOKUP(X94,Schichten!$A$5:$G$24,6,FALSE()),0))</f>
        <v>8</v>
      </c>
      <c r="Z94" s="27" t="n">
        <f aca="false">IF($A94="","",IFERROR(VLOOKUP(X94,Schichten!$A$5:$G$24,7,FALSE()),0))</f>
        <v>0</v>
      </c>
      <c r="AA94" s="28" t="n">
        <f aca="false">IF($A94="","",IF(N(Y94)=0,"",$A94+VLOOKUP(X94,Schichten!$A$5:$G$24,3,FALSE())))</f>
        <v>46477.5833333333</v>
      </c>
      <c r="AB94" s="28" t="n">
        <f aca="false">IF(AA94="","",$A94+VLOOKUP(X94,Schichten!$A$5:$G$24,4,FALSE())+IF(VLOOKUP(X94,Schichten!$A$5:$G$24,4,FALSE())&lt;=VLOOKUP(X94,Schichten!$A$5:$G$24,3,FALSE()),1,0))</f>
        <v>46477.9166666667</v>
      </c>
      <c r="AC94" s="28" t="n">
        <f aca="false">IF($A94="","",IF(N(Y93)&gt;0,AB93,AC93))</f>
        <v>46476.5833333333</v>
      </c>
      <c r="AD94" s="27" t="n">
        <f aca="false">IF(OR(AA94="",AC94=""),"",(AA94-AC94)*24)</f>
        <v>24</v>
      </c>
      <c r="AE94" s="21" t="n">
        <f aca="false">IF($A94="","",IF(N(Y94)&gt;0,N(AE93)+1,0))</f>
        <v>3</v>
      </c>
      <c r="AF94" s="21" t="n">
        <f aca="false">IF($A94="","",IF(N(Z94)&gt;0,N(AF93)+1,0))</f>
        <v>0</v>
      </c>
      <c r="AG94" s="21" t="str">
        <f aca="false">IF($A94="","",IF(WEEKDAY($A94,2)&lt;&gt;7,"",IF(AND(OR(AA94="",N(AA94)&gt;=$A94+16/24,N(AB94)&lt;=$A94+6/24),OR(AC94="",N(AC94)&lt;=$A94+6/24)),1,0)))</f>
        <v/>
      </c>
      <c r="AH94" s="26" t="str">
        <f aca="false">IF($A94="","",IF(INDEX(Muster!$C$9:$BF$9,1,MOD($A94-Einstellungen!$C$6,Einstellungen!$C$7)+1)="","-",INDEX(Muster!$C$9:$BF$9,1,MOD($A94-Einstellungen!$C$6,Einstellungen!$C$7)+1)))</f>
        <v>F</v>
      </c>
      <c r="AI94" s="27" t="n">
        <f aca="false">IF($A94="","",IFERROR(VLOOKUP(AH94,Schichten!$A$5:$G$24,6,FALSE()),0))</f>
        <v>8</v>
      </c>
      <c r="AJ94" s="27" t="n">
        <f aca="false">IF($A94="","",IFERROR(VLOOKUP(AH94,Schichten!$A$5:$G$24,7,FALSE()),0))</f>
        <v>0</v>
      </c>
      <c r="AK94" s="28" t="n">
        <f aca="false">IF($A94="","",IF(N(AI94)=0,"",$A94+VLOOKUP(AH94,Schichten!$A$5:$G$24,3,FALSE())))</f>
        <v>46477.25</v>
      </c>
      <c r="AL94" s="28" t="n">
        <f aca="false">IF(AK94="","",$A94+VLOOKUP(AH94,Schichten!$A$5:$G$24,4,FALSE())+IF(VLOOKUP(AH94,Schichten!$A$5:$G$24,4,FALSE())&lt;=VLOOKUP(AH94,Schichten!$A$5:$G$24,3,FALSE()),1,0))</f>
        <v>46477.5833333333</v>
      </c>
      <c r="AM94" s="28" t="n">
        <f aca="false">IF($A94="","",IF(N(AI93)&gt;0,AL93,AM93))</f>
        <v>46475.25</v>
      </c>
      <c r="AN94" s="27" t="n">
        <f aca="false">IF(OR(AK94="",AM94=""),"",(AK94-AM94)*24)</f>
        <v>48</v>
      </c>
      <c r="AO94" s="21" t="n">
        <f aca="false">IF($A94="","",IF(N(AI94)&gt;0,N(AO93)+1,0))</f>
        <v>1</v>
      </c>
      <c r="AP94" s="21" t="n">
        <f aca="false">IF($A94="","",IF(N(AJ94)&gt;0,N(AP93)+1,0))</f>
        <v>0</v>
      </c>
      <c r="AQ94" s="21" t="str">
        <f aca="false">IF($A94="","",IF(WEEKDAY($A94,2)&lt;&gt;7,"",IF(AND(OR(AK94="",N(AK94)&gt;=$A94+16/24,N(AL94)&lt;=$A94+6/24),OR(AM94="",N(AM94)&lt;=$A94+6/24)),1,0)))</f>
        <v/>
      </c>
      <c r="AR94" s="26" t="str">
        <f aca="false">IF($A94="","",IF(INDEX(Muster!$C$10:$BF$10,1,MOD($A94-Einstellungen!$C$6,Einstellungen!$C$7)+1)="","-",INDEX(Muster!$C$10:$BF$10,1,MOD($A94-Einstellungen!$C$6,Einstellungen!$C$7)+1)))</f>
        <v>-</v>
      </c>
      <c r="AS94" s="27" t="n">
        <f aca="false">IF($A94="","",IFERROR(VLOOKUP(AR94,Schichten!$A$5:$G$24,6,FALSE()),0))</f>
        <v>0</v>
      </c>
      <c r="AT94" s="27" t="n">
        <f aca="false">IF($A94="","",IFERROR(VLOOKUP(AR94,Schichten!$A$5:$G$24,7,FALSE()),0))</f>
        <v>0</v>
      </c>
      <c r="AU94" s="28" t="str">
        <f aca="false">IF($A94="","",IF(N(AS94)=0,"",$A94+VLOOKUP(AR94,Schichten!$A$5:$G$24,3,FALSE())))</f>
        <v/>
      </c>
      <c r="AV94" s="28" t="str">
        <f aca="false">IF(AU94="","",$A94+VLOOKUP(AR94,Schichten!$A$5:$G$24,4,FALSE())+IF(VLOOKUP(AR94,Schichten!$A$5:$G$24,4,FALSE())&lt;=VLOOKUP(AR94,Schichten!$A$5:$G$24,3,FALSE()),1,0))</f>
        <v/>
      </c>
      <c r="AW94" s="28" t="str">
        <f aca="false">IF($A94="","",IF(N(AS93)&gt;0,AV93,AW93))</f>
        <v/>
      </c>
      <c r="AX94" s="27" t="str">
        <f aca="false">IF(OR(AU94="",AW94=""),"",(AU94-AW94)*24)</f>
        <v/>
      </c>
      <c r="AY94" s="21" t="n">
        <f aca="false">IF($A94="","",IF(N(AS94)&gt;0,N(AY93)+1,0))</f>
        <v>0</v>
      </c>
      <c r="AZ94" s="21" t="n">
        <f aca="false">IF($A94="","",IF(N(AT94)&gt;0,N(AZ93)+1,0))</f>
        <v>0</v>
      </c>
      <c r="BA94" s="21" t="str">
        <f aca="false">IF($A94="","",IF(WEEKDAY($A94,2)&lt;&gt;7,"",IF(AND(OR(AU94="",N(AU94)&gt;=$A94+16/24,N(AV94)&lt;=$A94+6/24),OR(AW94="",N(AW94)&lt;=$A94+6/24)),1,0)))</f>
        <v/>
      </c>
    </row>
    <row r="95" customFormat="false" ht="15" hidden="false" customHeight="false" outlineLevel="0" collapsed="false">
      <c r="A95" s="25" t="n">
        <f aca="false">IF(YEAR(DATE(Einstellungen!$C$4,1,1)+90)=Einstellungen!$C$4,DATE(Einstellungen!$C$4,1,1)+90,"")</f>
        <v>46478</v>
      </c>
      <c r="B95" s="26" t="str">
        <f aca="false">IF($A95="","",CHOOSE(WEEKDAY($A95,2),"Mo","Di","Mi","Do","Fr","Sa","So"))</f>
        <v>Do</v>
      </c>
      <c r="C95" s="26" t="n">
        <f aca="false">IF($A95="","",MONTH($A95))</f>
        <v>4</v>
      </c>
      <c r="D95" s="26" t="str">
        <f aca="false">IF($A95="","",IF(INDEX(Muster!$C$6:$BF$6,1,MOD($A95-Einstellungen!$C$6,Einstellungen!$C$7)+1)="","-",INDEX(Muster!$C$6:$BF$6,1,MOD($A95-Einstellungen!$C$6,Einstellungen!$C$7)+1)))</f>
        <v>-</v>
      </c>
      <c r="E95" s="27" t="n">
        <f aca="false">IF($A95="","",IFERROR(VLOOKUP(D95,Schichten!$A$5:$G$24,6,FALSE()),0))</f>
        <v>0</v>
      </c>
      <c r="F95" s="27" t="n">
        <f aca="false">IF($A95="","",IFERROR(VLOOKUP(D95,Schichten!$A$5:$G$24,7,FALSE()),0))</f>
        <v>0</v>
      </c>
      <c r="G95" s="28" t="str">
        <f aca="false">IF($A95="","",IF(N(E95)=0,"",$A95+VLOOKUP(D95,Schichten!$A$5:$G$24,3,FALSE())))</f>
        <v/>
      </c>
      <c r="H95" s="28" t="str">
        <f aca="false">IF(G95="","",$A95+VLOOKUP(D95,Schichten!$A$5:$G$24,4,FALSE())+IF(VLOOKUP(D95,Schichten!$A$5:$G$24,4,FALSE())&lt;=VLOOKUP(D95,Schichten!$A$5:$G$24,3,FALSE()),1,0))</f>
        <v/>
      </c>
      <c r="I95" s="28" t="n">
        <f aca="false">IF($A95="","",IF(N(E94)&gt;0,H94,I94))</f>
        <v>46477.25</v>
      </c>
      <c r="J95" s="27" t="str">
        <f aca="false">IF(OR(G95="",I95=""),"",(G95-I95)*24)</f>
        <v/>
      </c>
      <c r="K95" s="21" t="n">
        <f aca="false">IF($A95="","",IF(N(E95)&gt;0,N(K94)+1,0))</f>
        <v>0</v>
      </c>
      <c r="L95" s="21" t="n">
        <f aca="false">IF($A95="","",IF(N(F95)&gt;0,N(L94)+1,0))</f>
        <v>0</v>
      </c>
      <c r="M95" s="21" t="str">
        <f aca="false">IF($A95="","",IF(WEEKDAY($A95,2)&lt;&gt;7,"",IF(AND(OR(G95="",N(G95)&gt;=$A95+16/24,N(H95)&lt;=$A95+6/24),OR(I95="",N(I95)&lt;=$A95+6/24)),1,0)))</f>
        <v/>
      </c>
      <c r="N95" s="26" t="str">
        <f aca="false">IF($A95="","",IF(INDEX(Muster!$C$7:$BF$7,1,MOD($A95-Einstellungen!$C$6,Einstellungen!$C$7)+1)="","-",INDEX(Muster!$C$7:$BF$7,1,MOD($A95-Einstellungen!$C$6,Einstellungen!$C$7)+1)))</f>
        <v>N</v>
      </c>
      <c r="O95" s="27" t="n">
        <f aca="false">IF($A95="","",IFERROR(VLOOKUP(N95,Schichten!$A$5:$G$24,6,FALSE()),0))</f>
        <v>8</v>
      </c>
      <c r="P95" s="27" t="n">
        <f aca="false">IF($A95="","",IFERROR(VLOOKUP(N95,Schichten!$A$5:$G$24,7,FALSE()),0))</f>
        <v>7</v>
      </c>
      <c r="Q95" s="28" t="n">
        <f aca="false">IF($A95="","",IF(N(O95)=0,"",$A95+VLOOKUP(N95,Schichten!$A$5:$G$24,3,FALSE())))</f>
        <v>46478.9166666667</v>
      </c>
      <c r="R95" s="28" t="n">
        <f aca="false">IF(Q95="","",$A95+VLOOKUP(N95,Schichten!$A$5:$G$24,4,FALSE())+IF(VLOOKUP(N95,Schichten!$A$5:$G$24,4,FALSE())&lt;=VLOOKUP(N95,Schichten!$A$5:$G$24,3,FALSE()),1,0))</f>
        <v>46479.25</v>
      </c>
      <c r="S95" s="28" t="n">
        <f aca="false">IF($A95="","",IF(N(O94)&gt;0,R94,S94))</f>
        <v>46478.25</v>
      </c>
      <c r="T95" s="27" t="n">
        <f aca="false">IF(OR(Q95="",S95=""),"",(Q95-S95)*24)</f>
        <v>16</v>
      </c>
      <c r="U95" s="21" t="n">
        <f aca="false">IF($A95="","",IF(N(O95)&gt;0,N(U94)+1,0))</f>
        <v>6</v>
      </c>
      <c r="V95" s="21" t="n">
        <f aca="false">IF($A95="","",IF(N(P95)&gt;0,N(V94)+1,0))</f>
        <v>2</v>
      </c>
      <c r="W95" s="21" t="str">
        <f aca="false">IF($A95="","",IF(WEEKDAY($A95,2)&lt;&gt;7,"",IF(AND(OR(Q95="",N(Q95)&gt;=$A95+16/24,N(R95)&lt;=$A95+6/24),OR(S95="",N(S95)&lt;=$A95+6/24)),1,0)))</f>
        <v/>
      </c>
      <c r="X95" s="26" t="str">
        <f aca="false">IF($A95="","",IF(INDEX(Muster!$C$8:$BF$8,1,MOD($A95-Einstellungen!$C$6,Einstellungen!$C$7)+1)="","-",INDEX(Muster!$C$8:$BF$8,1,MOD($A95-Einstellungen!$C$6,Einstellungen!$C$7)+1)))</f>
        <v>S</v>
      </c>
      <c r="Y95" s="27" t="n">
        <f aca="false">IF($A95="","",IFERROR(VLOOKUP(X95,Schichten!$A$5:$G$24,6,FALSE()),0))</f>
        <v>8</v>
      </c>
      <c r="Z95" s="27" t="n">
        <f aca="false">IF($A95="","",IFERROR(VLOOKUP(X95,Schichten!$A$5:$G$24,7,FALSE()),0))</f>
        <v>0</v>
      </c>
      <c r="AA95" s="28" t="n">
        <f aca="false">IF($A95="","",IF(N(Y95)=0,"",$A95+VLOOKUP(X95,Schichten!$A$5:$G$24,3,FALSE())))</f>
        <v>46478.5833333333</v>
      </c>
      <c r="AB95" s="28" t="n">
        <f aca="false">IF(AA95="","",$A95+VLOOKUP(X95,Schichten!$A$5:$G$24,4,FALSE())+IF(VLOOKUP(X95,Schichten!$A$5:$G$24,4,FALSE())&lt;=VLOOKUP(X95,Schichten!$A$5:$G$24,3,FALSE()),1,0))</f>
        <v>46478.9166666667</v>
      </c>
      <c r="AC95" s="28" t="n">
        <f aca="false">IF($A95="","",IF(N(Y94)&gt;0,AB94,AC94))</f>
        <v>46477.9166666667</v>
      </c>
      <c r="AD95" s="27" t="n">
        <f aca="false">IF(OR(AA95="",AC95=""),"",(AA95-AC95)*24)</f>
        <v>16</v>
      </c>
      <c r="AE95" s="21" t="n">
        <f aca="false">IF($A95="","",IF(N(Y95)&gt;0,N(AE94)+1,0))</f>
        <v>4</v>
      </c>
      <c r="AF95" s="21" t="n">
        <f aca="false">IF($A95="","",IF(N(Z95)&gt;0,N(AF94)+1,0))</f>
        <v>0</v>
      </c>
      <c r="AG95" s="21" t="str">
        <f aca="false">IF($A95="","",IF(WEEKDAY($A95,2)&lt;&gt;7,"",IF(AND(OR(AA95="",N(AA95)&gt;=$A95+16/24,N(AB95)&lt;=$A95+6/24),OR(AC95="",N(AC95)&lt;=$A95+6/24)),1,0)))</f>
        <v/>
      </c>
      <c r="AH95" s="26" t="str">
        <f aca="false">IF($A95="","",IF(INDEX(Muster!$C$9:$BF$9,1,MOD($A95-Einstellungen!$C$6,Einstellungen!$C$7)+1)="","-",INDEX(Muster!$C$9:$BF$9,1,MOD($A95-Einstellungen!$C$6,Einstellungen!$C$7)+1)))</f>
        <v>F</v>
      </c>
      <c r="AI95" s="27" t="n">
        <f aca="false">IF($A95="","",IFERROR(VLOOKUP(AH95,Schichten!$A$5:$G$24,6,FALSE()),0))</f>
        <v>8</v>
      </c>
      <c r="AJ95" s="27" t="n">
        <f aca="false">IF($A95="","",IFERROR(VLOOKUP(AH95,Schichten!$A$5:$G$24,7,FALSE()),0))</f>
        <v>0</v>
      </c>
      <c r="AK95" s="28" t="n">
        <f aca="false">IF($A95="","",IF(N(AI95)=0,"",$A95+VLOOKUP(AH95,Schichten!$A$5:$G$24,3,FALSE())))</f>
        <v>46478.25</v>
      </c>
      <c r="AL95" s="28" t="n">
        <f aca="false">IF(AK95="","",$A95+VLOOKUP(AH95,Schichten!$A$5:$G$24,4,FALSE())+IF(VLOOKUP(AH95,Schichten!$A$5:$G$24,4,FALSE())&lt;=VLOOKUP(AH95,Schichten!$A$5:$G$24,3,FALSE()),1,0))</f>
        <v>46478.5833333333</v>
      </c>
      <c r="AM95" s="28" t="n">
        <f aca="false">IF($A95="","",IF(N(AI94)&gt;0,AL94,AM94))</f>
        <v>46477.5833333333</v>
      </c>
      <c r="AN95" s="27" t="n">
        <f aca="false">IF(OR(AK95="",AM95=""),"",(AK95-AM95)*24)</f>
        <v>16</v>
      </c>
      <c r="AO95" s="21" t="n">
        <f aca="false">IF($A95="","",IF(N(AI95)&gt;0,N(AO94)+1,0))</f>
        <v>2</v>
      </c>
      <c r="AP95" s="21" t="n">
        <f aca="false">IF($A95="","",IF(N(AJ95)&gt;0,N(AP94)+1,0))</f>
        <v>0</v>
      </c>
      <c r="AQ95" s="21" t="str">
        <f aca="false">IF($A95="","",IF(WEEKDAY($A95,2)&lt;&gt;7,"",IF(AND(OR(AK95="",N(AK95)&gt;=$A95+16/24,N(AL95)&lt;=$A95+6/24),OR(AM95="",N(AM95)&lt;=$A95+6/24)),1,0)))</f>
        <v/>
      </c>
      <c r="AR95" s="26" t="str">
        <f aca="false">IF($A95="","",IF(INDEX(Muster!$C$10:$BF$10,1,MOD($A95-Einstellungen!$C$6,Einstellungen!$C$7)+1)="","-",INDEX(Muster!$C$10:$BF$10,1,MOD($A95-Einstellungen!$C$6,Einstellungen!$C$7)+1)))</f>
        <v>-</v>
      </c>
      <c r="AS95" s="27" t="n">
        <f aca="false">IF($A95="","",IFERROR(VLOOKUP(AR95,Schichten!$A$5:$G$24,6,FALSE()),0))</f>
        <v>0</v>
      </c>
      <c r="AT95" s="27" t="n">
        <f aca="false">IF($A95="","",IFERROR(VLOOKUP(AR95,Schichten!$A$5:$G$24,7,FALSE()),0))</f>
        <v>0</v>
      </c>
      <c r="AU95" s="28" t="str">
        <f aca="false">IF($A95="","",IF(N(AS95)=0,"",$A95+VLOOKUP(AR95,Schichten!$A$5:$G$24,3,FALSE())))</f>
        <v/>
      </c>
      <c r="AV95" s="28" t="str">
        <f aca="false">IF(AU95="","",$A95+VLOOKUP(AR95,Schichten!$A$5:$G$24,4,FALSE())+IF(VLOOKUP(AR95,Schichten!$A$5:$G$24,4,FALSE())&lt;=VLOOKUP(AR95,Schichten!$A$5:$G$24,3,FALSE()),1,0))</f>
        <v/>
      </c>
      <c r="AW95" s="28" t="str">
        <f aca="false">IF($A95="","",IF(N(AS94)&gt;0,AV94,AW94))</f>
        <v/>
      </c>
      <c r="AX95" s="27" t="str">
        <f aca="false">IF(OR(AU95="",AW95=""),"",(AU95-AW95)*24)</f>
        <v/>
      </c>
      <c r="AY95" s="21" t="n">
        <f aca="false">IF($A95="","",IF(N(AS95)&gt;0,N(AY94)+1,0))</f>
        <v>0</v>
      </c>
      <c r="AZ95" s="21" t="n">
        <f aca="false">IF($A95="","",IF(N(AT95)&gt;0,N(AZ94)+1,0))</f>
        <v>0</v>
      </c>
      <c r="BA95" s="21" t="str">
        <f aca="false">IF($A95="","",IF(WEEKDAY($A95,2)&lt;&gt;7,"",IF(AND(OR(AU95="",N(AU95)&gt;=$A95+16/24,N(AV95)&lt;=$A95+6/24),OR(AW95="",N(AW95)&lt;=$A95+6/24)),1,0)))</f>
        <v/>
      </c>
    </row>
    <row r="96" customFormat="false" ht="15" hidden="false" customHeight="false" outlineLevel="0" collapsed="false">
      <c r="A96" s="25" t="n">
        <f aca="false">IF(YEAR(DATE(Einstellungen!$C$4,1,1)+91)=Einstellungen!$C$4,DATE(Einstellungen!$C$4,1,1)+91,"")</f>
        <v>46479</v>
      </c>
      <c r="B96" s="26" t="str">
        <f aca="false">IF($A96="","",CHOOSE(WEEKDAY($A96,2),"Mo","Di","Mi","Do","Fr","Sa","So"))</f>
        <v>Fr</v>
      </c>
      <c r="C96" s="26" t="n">
        <f aca="false">IF($A96="","",MONTH($A96))</f>
        <v>4</v>
      </c>
      <c r="D96" s="26" t="str">
        <f aca="false">IF($A96="","",IF(INDEX(Muster!$C$6:$BF$6,1,MOD($A96-Einstellungen!$C$6,Einstellungen!$C$7)+1)="","-",INDEX(Muster!$C$6:$BF$6,1,MOD($A96-Einstellungen!$C$6,Einstellungen!$C$7)+1)))</f>
        <v>F</v>
      </c>
      <c r="E96" s="27" t="n">
        <f aca="false">IF($A96="","",IFERROR(VLOOKUP(D96,Schichten!$A$5:$G$24,6,FALSE()),0))</f>
        <v>8</v>
      </c>
      <c r="F96" s="27" t="n">
        <f aca="false">IF($A96="","",IFERROR(VLOOKUP(D96,Schichten!$A$5:$G$24,7,FALSE()),0))</f>
        <v>0</v>
      </c>
      <c r="G96" s="28" t="n">
        <f aca="false">IF($A96="","",IF(N(E96)=0,"",$A96+VLOOKUP(D96,Schichten!$A$5:$G$24,3,FALSE())))</f>
        <v>46479.25</v>
      </c>
      <c r="H96" s="28" t="n">
        <f aca="false">IF(G96="","",$A96+VLOOKUP(D96,Schichten!$A$5:$G$24,4,FALSE())+IF(VLOOKUP(D96,Schichten!$A$5:$G$24,4,FALSE())&lt;=VLOOKUP(D96,Schichten!$A$5:$G$24,3,FALSE()),1,0))</f>
        <v>46479.5833333333</v>
      </c>
      <c r="I96" s="28" t="n">
        <f aca="false">IF($A96="","",IF(N(E95)&gt;0,H95,I95))</f>
        <v>46477.25</v>
      </c>
      <c r="J96" s="27" t="n">
        <f aca="false">IF(OR(G96="",I96=""),"",(G96-I96)*24)</f>
        <v>48</v>
      </c>
      <c r="K96" s="21" t="n">
        <f aca="false">IF($A96="","",IF(N(E96)&gt;0,N(K95)+1,0))</f>
        <v>1</v>
      </c>
      <c r="L96" s="21" t="n">
        <f aca="false">IF($A96="","",IF(N(F96)&gt;0,N(L95)+1,0))</f>
        <v>0</v>
      </c>
      <c r="M96" s="21" t="str">
        <f aca="false">IF($A96="","",IF(WEEKDAY($A96,2)&lt;&gt;7,"",IF(AND(OR(G96="",N(G96)&gt;=$A96+16/24,N(H96)&lt;=$A96+6/24),OR(I96="",N(I96)&lt;=$A96+6/24)),1,0)))</f>
        <v/>
      </c>
      <c r="N96" s="26" t="str">
        <f aca="false">IF($A96="","",IF(INDEX(Muster!$C$7:$BF$7,1,MOD($A96-Einstellungen!$C$6,Einstellungen!$C$7)+1)="","-",INDEX(Muster!$C$7:$BF$7,1,MOD($A96-Einstellungen!$C$6,Einstellungen!$C$7)+1)))</f>
        <v>-</v>
      </c>
      <c r="O96" s="27" t="n">
        <f aca="false">IF($A96="","",IFERROR(VLOOKUP(N96,Schichten!$A$5:$G$24,6,FALSE()),0))</f>
        <v>0</v>
      </c>
      <c r="P96" s="27" t="n">
        <f aca="false">IF($A96="","",IFERROR(VLOOKUP(N96,Schichten!$A$5:$G$24,7,FALSE()),0))</f>
        <v>0</v>
      </c>
      <c r="Q96" s="28" t="str">
        <f aca="false">IF($A96="","",IF(N(O96)=0,"",$A96+VLOOKUP(N96,Schichten!$A$5:$G$24,3,FALSE())))</f>
        <v/>
      </c>
      <c r="R96" s="28" t="str">
        <f aca="false">IF(Q96="","",$A96+VLOOKUP(N96,Schichten!$A$5:$G$24,4,FALSE())+IF(VLOOKUP(N96,Schichten!$A$5:$G$24,4,FALSE())&lt;=VLOOKUP(N96,Schichten!$A$5:$G$24,3,FALSE()),1,0))</f>
        <v/>
      </c>
      <c r="S96" s="28" t="n">
        <f aca="false">IF($A96="","",IF(N(O95)&gt;0,R95,S95))</f>
        <v>46479.25</v>
      </c>
      <c r="T96" s="27" t="str">
        <f aca="false">IF(OR(Q96="",S96=""),"",(Q96-S96)*24)</f>
        <v/>
      </c>
      <c r="U96" s="21" t="n">
        <f aca="false">IF($A96="","",IF(N(O96)&gt;0,N(U95)+1,0))</f>
        <v>0</v>
      </c>
      <c r="V96" s="21" t="n">
        <f aca="false">IF($A96="","",IF(N(P96)&gt;0,N(V95)+1,0))</f>
        <v>0</v>
      </c>
      <c r="W96" s="21" t="str">
        <f aca="false">IF($A96="","",IF(WEEKDAY($A96,2)&lt;&gt;7,"",IF(AND(OR(Q96="",N(Q96)&gt;=$A96+16/24,N(R96)&lt;=$A96+6/24),OR(S96="",N(S96)&lt;=$A96+6/24)),1,0)))</f>
        <v/>
      </c>
      <c r="X96" s="26" t="str">
        <f aca="false">IF($A96="","",IF(INDEX(Muster!$C$8:$BF$8,1,MOD($A96-Einstellungen!$C$6,Einstellungen!$C$7)+1)="","-",INDEX(Muster!$C$8:$BF$8,1,MOD($A96-Einstellungen!$C$6,Einstellungen!$C$7)+1)))</f>
        <v>N</v>
      </c>
      <c r="Y96" s="27" t="n">
        <f aca="false">IF($A96="","",IFERROR(VLOOKUP(X96,Schichten!$A$5:$G$24,6,FALSE()),0))</f>
        <v>8</v>
      </c>
      <c r="Z96" s="27" t="n">
        <f aca="false">IF($A96="","",IFERROR(VLOOKUP(X96,Schichten!$A$5:$G$24,7,FALSE()),0))</f>
        <v>7</v>
      </c>
      <c r="AA96" s="28" t="n">
        <f aca="false">IF($A96="","",IF(N(Y96)=0,"",$A96+VLOOKUP(X96,Schichten!$A$5:$G$24,3,FALSE())))</f>
        <v>46479.9166666667</v>
      </c>
      <c r="AB96" s="28" t="n">
        <f aca="false">IF(AA96="","",$A96+VLOOKUP(X96,Schichten!$A$5:$G$24,4,FALSE())+IF(VLOOKUP(X96,Schichten!$A$5:$G$24,4,FALSE())&lt;=VLOOKUP(X96,Schichten!$A$5:$G$24,3,FALSE()),1,0))</f>
        <v>46480.25</v>
      </c>
      <c r="AC96" s="28" t="n">
        <f aca="false">IF($A96="","",IF(N(Y95)&gt;0,AB95,AC95))</f>
        <v>46478.9166666667</v>
      </c>
      <c r="AD96" s="27" t="n">
        <f aca="false">IF(OR(AA96="",AC96=""),"",(AA96-AC96)*24)</f>
        <v>24</v>
      </c>
      <c r="AE96" s="21" t="n">
        <f aca="false">IF($A96="","",IF(N(Y96)&gt;0,N(AE95)+1,0))</f>
        <v>5</v>
      </c>
      <c r="AF96" s="21" t="n">
        <f aca="false">IF($A96="","",IF(N(Z96)&gt;0,N(AF95)+1,0))</f>
        <v>1</v>
      </c>
      <c r="AG96" s="21" t="str">
        <f aca="false">IF($A96="","",IF(WEEKDAY($A96,2)&lt;&gt;7,"",IF(AND(OR(AA96="",N(AA96)&gt;=$A96+16/24,N(AB96)&lt;=$A96+6/24),OR(AC96="",N(AC96)&lt;=$A96+6/24)),1,0)))</f>
        <v/>
      </c>
      <c r="AH96" s="26" t="str">
        <f aca="false">IF($A96="","",IF(INDEX(Muster!$C$9:$BF$9,1,MOD($A96-Einstellungen!$C$6,Einstellungen!$C$7)+1)="","-",INDEX(Muster!$C$9:$BF$9,1,MOD($A96-Einstellungen!$C$6,Einstellungen!$C$7)+1)))</f>
        <v>S</v>
      </c>
      <c r="AI96" s="27" t="n">
        <f aca="false">IF($A96="","",IFERROR(VLOOKUP(AH96,Schichten!$A$5:$G$24,6,FALSE()),0))</f>
        <v>8</v>
      </c>
      <c r="AJ96" s="27" t="n">
        <f aca="false">IF($A96="","",IFERROR(VLOOKUP(AH96,Schichten!$A$5:$G$24,7,FALSE()),0))</f>
        <v>0</v>
      </c>
      <c r="AK96" s="28" t="n">
        <f aca="false">IF($A96="","",IF(N(AI96)=0,"",$A96+VLOOKUP(AH96,Schichten!$A$5:$G$24,3,FALSE())))</f>
        <v>46479.5833333333</v>
      </c>
      <c r="AL96" s="28" t="n">
        <f aca="false">IF(AK96="","",$A96+VLOOKUP(AH96,Schichten!$A$5:$G$24,4,FALSE())+IF(VLOOKUP(AH96,Schichten!$A$5:$G$24,4,FALSE())&lt;=VLOOKUP(AH96,Schichten!$A$5:$G$24,3,FALSE()),1,0))</f>
        <v>46479.9166666667</v>
      </c>
      <c r="AM96" s="28" t="n">
        <f aca="false">IF($A96="","",IF(N(AI95)&gt;0,AL95,AM95))</f>
        <v>46478.5833333333</v>
      </c>
      <c r="AN96" s="27" t="n">
        <f aca="false">IF(OR(AK96="",AM96=""),"",(AK96-AM96)*24)</f>
        <v>24</v>
      </c>
      <c r="AO96" s="21" t="n">
        <f aca="false">IF($A96="","",IF(N(AI96)&gt;0,N(AO95)+1,0))</f>
        <v>3</v>
      </c>
      <c r="AP96" s="21" t="n">
        <f aca="false">IF($A96="","",IF(N(AJ96)&gt;0,N(AP95)+1,0))</f>
        <v>0</v>
      </c>
      <c r="AQ96" s="21" t="str">
        <f aca="false">IF($A96="","",IF(WEEKDAY($A96,2)&lt;&gt;7,"",IF(AND(OR(AK96="",N(AK96)&gt;=$A96+16/24,N(AL96)&lt;=$A96+6/24),OR(AM96="",N(AM96)&lt;=$A96+6/24)),1,0)))</f>
        <v/>
      </c>
      <c r="AR96" s="26" t="str">
        <f aca="false">IF($A96="","",IF(INDEX(Muster!$C$10:$BF$10,1,MOD($A96-Einstellungen!$C$6,Einstellungen!$C$7)+1)="","-",INDEX(Muster!$C$10:$BF$10,1,MOD($A96-Einstellungen!$C$6,Einstellungen!$C$7)+1)))</f>
        <v>-</v>
      </c>
      <c r="AS96" s="27" t="n">
        <f aca="false">IF($A96="","",IFERROR(VLOOKUP(AR96,Schichten!$A$5:$G$24,6,FALSE()),0))</f>
        <v>0</v>
      </c>
      <c r="AT96" s="27" t="n">
        <f aca="false">IF($A96="","",IFERROR(VLOOKUP(AR96,Schichten!$A$5:$G$24,7,FALSE()),0))</f>
        <v>0</v>
      </c>
      <c r="AU96" s="28" t="str">
        <f aca="false">IF($A96="","",IF(N(AS96)=0,"",$A96+VLOOKUP(AR96,Schichten!$A$5:$G$24,3,FALSE())))</f>
        <v/>
      </c>
      <c r="AV96" s="28" t="str">
        <f aca="false">IF(AU96="","",$A96+VLOOKUP(AR96,Schichten!$A$5:$G$24,4,FALSE())+IF(VLOOKUP(AR96,Schichten!$A$5:$G$24,4,FALSE())&lt;=VLOOKUP(AR96,Schichten!$A$5:$G$24,3,FALSE()),1,0))</f>
        <v/>
      </c>
      <c r="AW96" s="28" t="str">
        <f aca="false">IF($A96="","",IF(N(AS95)&gt;0,AV95,AW95))</f>
        <v/>
      </c>
      <c r="AX96" s="27" t="str">
        <f aca="false">IF(OR(AU96="",AW96=""),"",(AU96-AW96)*24)</f>
        <v/>
      </c>
      <c r="AY96" s="21" t="n">
        <f aca="false">IF($A96="","",IF(N(AS96)&gt;0,N(AY95)+1,0))</f>
        <v>0</v>
      </c>
      <c r="AZ96" s="21" t="n">
        <f aca="false">IF($A96="","",IF(N(AT96)&gt;0,N(AZ95)+1,0))</f>
        <v>0</v>
      </c>
      <c r="BA96" s="21" t="str">
        <f aca="false">IF($A96="","",IF(WEEKDAY($A96,2)&lt;&gt;7,"",IF(AND(OR(AU96="",N(AU96)&gt;=$A96+16/24,N(AV96)&lt;=$A96+6/24),OR(AW96="",N(AW96)&lt;=$A96+6/24)),1,0)))</f>
        <v/>
      </c>
    </row>
    <row r="97" customFormat="false" ht="15" hidden="false" customHeight="false" outlineLevel="0" collapsed="false">
      <c r="A97" s="25" t="n">
        <f aca="false">IF(YEAR(DATE(Einstellungen!$C$4,1,1)+92)=Einstellungen!$C$4,DATE(Einstellungen!$C$4,1,1)+92,"")</f>
        <v>46480</v>
      </c>
      <c r="B97" s="26" t="str">
        <f aca="false">IF($A97="","",CHOOSE(WEEKDAY($A97,2),"Mo","Di","Mi","Do","Fr","Sa","So"))</f>
        <v>Sa</v>
      </c>
      <c r="C97" s="26" t="n">
        <f aca="false">IF($A97="","",MONTH($A97))</f>
        <v>4</v>
      </c>
      <c r="D97" s="26" t="str">
        <f aca="false">IF($A97="","",IF(INDEX(Muster!$C$6:$BF$6,1,MOD($A97-Einstellungen!$C$6,Einstellungen!$C$7)+1)="","-",INDEX(Muster!$C$6:$BF$6,1,MOD($A97-Einstellungen!$C$6,Einstellungen!$C$7)+1)))</f>
        <v>F</v>
      </c>
      <c r="E97" s="27" t="n">
        <f aca="false">IF($A97="","",IFERROR(VLOOKUP(D97,Schichten!$A$5:$G$24,6,FALSE()),0))</f>
        <v>8</v>
      </c>
      <c r="F97" s="27" t="n">
        <f aca="false">IF($A97="","",IFERROR(VLOOKUP(D97,Schichten!$A$5:$G$24,7,FALSE()),0))</f>
        <v>0</v>
      </c>
      <c r="G97" s="28" t="n">
        <f aca="false">IF($A97="","",IF(N(E97)=0,"",$A97+VLOOKUP(D97,Schichten!$A$5:$G$24,3,FALSE())))</f>
        <v>46480.25</v>
      </c>
      <c r="H97" s="28" t="n">
        <f aca="false">IF(G97="","",$A97+VLOOKUP(D97,Schichten!$A$5:$G$24,4,FALSE())+IF(VLOOKUP(D97,Schichten!$A$5:$G$24,4,FALSE())&lt;=VLOOKUP(D97,Schichten!$A$5:$G$24,3,FALSE()),1,0))</f>
        <v>46480.5833333333</v>
      </c>
      <c r="I97" s="28" t="n">
        <f aca="false">IF($A97="","",IF(N(E96)&gt;0,H96,I96))</f>
        <v>46479.5833333333</v>
      </c>
      <c r="J97" s="27" t="n">
        <f aca="false">IF(OR(G97="",I97=""),"",(G97-I97)*24)</f>
        <v>16</v>
      </c>
      <c r="K97" s="21" t="n">
        <f aca="false">IF($A97="","",IF(N(E97)&gt;0,N(K96)+1,0))</f>
        <v>2</v>
      </c>
      <c r="L97" s="21" t="n">
        <f aca="false">IF($A97="","",IF(N(F97)&gt;0,N(L96)+1,0))</f>
        <v>0</v>
      </c>
      <c r="M97" s="21" t="str">
        <f aca="false">IF($A97="","",IF(WEEKDAY($A97,2)&lt;&gt;7,"",IF(AND(OR(G97="",N(G97)&gt;=$A97+16/24,N(H97)&lt;=$A97+6/24),OR(I97="",N(I97)&lt;=$A97+6/24)),1,0)))</f>
        <v/>
      </c>
      <c r="N97" s="26" t="str">
        <f aca="false">IF($A97="","",IF(INDEX(Muster!$C$7:$BF$7,1,MOD($A97-Einstellungen!$C$6,Einstellungen!$C$7)+1)="","-",INDEX(Muster!$C$7:$BF$7,1,MOD($A97-Einstellungen!$C$6,Einstellungen!$C$7)+1)))</f>
        <v>-</v>
      </c>
      <c r="O97" s="27" t="n">
        <f aca="false">IF($A97="","",IFERROR(VLOOKUP(N97,Schichten!$A$5:$G$24,6,FALSE()),0))</f>
        <v>0</v>
      </c>
      <c r="P97" s="27" t="n">
        <f aca="false">IF($A97="","",IFERROR(VLOOKUP(N97,Schichten!$A$5:$G$24,7,FALSE()),0))</f>
        <v>0</v>
      </c>
      <c r="Q97" s="28" t="str">
        <f aca="false">IF($A97="","",IF(N(O97)=0,"",$A97+VLOOKUP(N97,Schichten!$A$5:$G$24,3,FALSE())))</f>
        <v/>
      </c>
      <c r="R97" s="28" t="str">
        <f aca="false">IF(Q97="","",$A97+VLOOKUP(N97,Schichten!$A$5:$G$24,4,FALSE())+IF(VLOOKUP(N97,Schichten!$A$5:$G$24,4,FALSE())&lt;=VLOOKUP(N97,Schichten!$A$5:$G$24,3,FALSE()),1,0))</f>
        <v/>
      </c>
      <c r="S97" s="28" t="n">
        <f aca="false">IF($A97="","",IF(N(O96)&gt;0,R96,S96))</f>
        <v>46479.25</v>
      </c>
      <c r="T97" s="27" t="str">
        <f aca="false">IF(OR(Q97="",S97=""),"",(Q97-S97)*24)</f>
        <v/>
      </c>
      <c r="U97" s="21" t="n">
        <f aca="false">IF($A97="","",IF(N(O97)&gt;0,N(U96)+1,0))</f>
        <v>0</v>
      </c>
      <c r="V97" s="21" t="n">
        <f aca="false">IF($A97="","",IF(N(P97)&gt;0,N(V96)+1,0))</f>
        <v>0</v>
      </c>
      <c r="W97" s="21" t="str">
        <f aca="false">IF($A97="","",IF(WEEKDAY($A97,2)&lt;&gt;7,"",IF(AND(OR(Q97="",N(Q97)&gt;=$A97+16/24,N(R97)&lt;=$A97+6/24),OR(S97="",N(S97)&lt;=$A97+6/24)),1,0)))</f>
        <v/>
      </c>
      <c r="X97" s="26" t="str">
        <f aca="false">IF($A97="","",IF(INDEX(Muster!$C$8:$BF$8,1,MOD($A97-Einstellungen!$C$6,Einstellungen!$C$7)+1)="","-",INDEX(Muster!$C$8:$BF$8,1,MOD($A97-Einstellungen!$C$6,Einstellungen!$C$7)+1)))</f>
        <v>N</v>
      </c>
      <c r="Y97" s="27" t="n">
        <f aca="false">IF($A97="","",IFERROR(VLOOKUP(X97,Schichten!$A$5:$G$24,6,FALSE()),0))</f>
        <v>8</v>
      </c>
      <c r="Z97" s="27" t="n">
        <f aca="false">IF($A97="","",IFERROR(VLOOKUP(X97,Schichten!$A$5:$G$24,7,FALSE()),0))</f>
        <v>7</v>
      </c>
      <c r="AA97" s="28" t="n">
        <f aca="false">IF($A97="","",IF(N(Y97)=0,"",$A97+VLOOKUP(X97,Schichten!$A$5:$G$24,3,FALSE())))</f>
        <v>46480.9166666667</v>
      </c>
      <c r="AB97" s="28" t="n">
        <f aca="false">IF(AA97="","",$A97+VLOOKUP(X97,Schichten!$A$5:$G$24,4,FALSE())+IF(VLOOKUP(X97,Schichten!$A$5:$G$24,4,FALSE())&lt;=VLOOKUP(X97,Schichten!$A$5:$G$24,3,FALSE()),1,0))</f>
        <v>46481.25</v>
      </c>
      <c r="AC97" s="28" t="n">
        <f aca="false">IF($A97="","",IF(N(Y96)&gt;0,AB96,AC96))</f>
        <v>46480.25</v>
      </c>
      <c r="AD97" s="27" t="n">
        <f aca="false">IF(OR(AA97="",AC97=""),"",(AA97-AC97)*24)</f>
        <v>16</v>
      </c>
      <c r="AE97" s="21" t="n">
        <f aca="false">IF($A97="","",IF(N(Y97)&gt;0,N(AE96)+1,0))</f>
        <v>6</v>
      </c>
      <c r="AF97" s="21" t="n">
        <f aca="false">IF($A97="","",IF(N(Z97)&gt;0,N(AF96)+1,0))</f>
        <v>2</v>
      </c>
      <c r="AG97" s="21" t="str">
        <f aca="false">IF($A97="","",IF(WEEKDAY($A97,2)&lt;&gt;7,"",IF(AND(OR(AA97="",N(AA97)&gt;=$A97+16/24,N(AB97)&lt;=$A97+6/24),OR(AC97="",N(AC97)&lt;=$A97+6/24)),1,0)))</f>
        <v/>
      </c>
      <c r="AH97" s="26" t="str">
        <f aca="false">IF($A97="","",IF(INDEX(Muster!$C$9:$BF$9,1,MOD($A97-Einstellungen!$C$6,Einstellungen!$C$7)+1)="","-",INDEX(Muster!$C$9:$BF$9,1,MOD($A97-Einstellungen!$C$6,Einstellungen!$C$7)+1)))</f>
        <v>S</v>
      </c>
      <c r="AI97" s="27" t="n">
        <f aca="false">IF($A97="","",IFERROR(VLOOKUP(AH97,Schichten!$A$5:$G$24,6,FALSE()),0))</f>
        <v>8</v>
      </c>
      <c r="AJ97" s="27" t="n">
        <f aca="false">IF($A97="","",IFERROR(VLOOKUP(AH97,Schichten!$A$5:$G$24,7,FALSE()),0))</f>
        <v>0</v>
      </c>
      <c r="AK97" s="28" t="n">
        <f aca="false">IF($A97="","",IF(N(AI97)=0,"",$A97+VLOOKUP(AH97,Schichten!$A$5:$G$24,3,FALSE())))</f>
        <v>46480.5833333333</v>
      </c>
      <c r="AL97" s="28" t="n">
        <f aca="false">IF(AK97="","",$A97+VLOOKUP(AH97,Schichten!$A$5:$G$24,4,FALSE())+IF(VLOOKUP(AH97,Schichten!$A$5:$G$24,4,FALSE())&lt;=VLOOKUP(AH97,Schichten!$A$5:$G$24,3,FALSE()),1,0))</f>
        <v>46480.9166666667</v>
      </c>
      <c r="AM97" s="28" t="n">
        <f aca="false">IF($A97="","",IF(N(AI96)&gt;0,AL96,AM96))</f>
        <v>46479.9166666667</v>
      </c>
      <c r="AN97" s="27" t="n">
        <f aca="false">IF(OR(AK97="",AM97=""),"",(AK97-AM97)*24)</f>
        <v>16</v>
      </c>
      <c r="AO97" s="21" t="n">
        <f aca="false">IF($A97="","",IF(N(AI97)&gt;0,N(AO96)+1,0))</f>
        <v>4</v>
      </c>
      <c r="AP97" s="21" t="n">
        <f aca="false">IF($A97="","",IF(N(AJ97)&gt;0,N(AP96)+1,0))</f>
        <v>0</v>
      </c>
      <c r="AQ97" s="21" t="str">
        <f aca="false">IF($A97="","",IF(WEEKDAY($A97,2)&lt;&gt;7,"",IF(AND(OR(AK97="",N(AK97)&gt;=$A97+16/24,N(AL97)&lt;=$A97+6/24),OR(AM97="",N(AM97)&lt;=$A97+6/24)),1,0)))</f>
        <v/>
      </c>
      <c r="AR97" s="26" t="str">
        <f aca="false">IF($A97="","",IF(INDEX(Muster!$C$10:$BF$10,1,MOD($A97-Einstellungen!$C$6,Einstellungen!$C$7)+1)="","-",INDEX(Muster!$C$10:$BF$10,1,MOD($A97-Einstellungen!$C$6,Einstellungen!$C$7)+1)))</f>
        <v>-</v>
      </c>
      <c r="AS97" s="27" t="n">
        <f aca="false">IF($A97="","",IFERROR(VLOOKUP(AR97,Schichten!$A$5:$G$24,6,FALSE()),0))</f>
        <v>0</v>
      </c>
      <c r="AT97" s="27" t="n">
        <f aca="false">IF($A97="","",IFERROR(VLOOKUP(AR97,Schichten!$A$5:$G$24,7,FALSE()),0))</f>
        <v>0</v>
      </c>
      <c r="AU97" s="28" t="str">
        <f aca="false">IF($A97="","",IF(N(AS97)=0,"",$A97+VLOOKUP(AR97,Schichten!$A$5:$G$24,3,FALSE())))</f>
        <v/>
      </c>
      <c r="AV97" s="28" t="str">
        <f aca="false">IF(AU97="","",$A97+VLOOKUP(AR97,Schichten!$A$5:$G$24,4,FALSE())+IF(VLOOKUP(AR97,Schichten!$A$5:$G$24,4,FALSE())&lt;=VLOOKUP(AR97,Schichten!$A$5:$G$24,3,FALSE()),1,0))</f>
        <v/>
      </c>
      <c r="AW97" s="28" t="str">
        <f aca="false">IF($A97="","",IF(N(AS96)&gt;0,AV96,AW96))</f>
        <v/>
      </c>
      <c r="AX97" s="27" t="str">
        <f aca="false">IF(OR(AU97="",AW97=""),"",(AU97-AW97)*24)</f>
        <v/>
      </c>
      <c r="AY97" s="21" t="n">
        <f aca="false">IF($A97="","",IF(N(AS97)&gt;0,N(AY96)+1,0))</f>
        <v>0</v>
      </c>
      <c r="AZ97" s="21" t="n">
        <f aca="false">IF($A97="","",IF(N(AT97)&gt;0,N(AZ96)+1,0))</f>
        <v>0</v>
      </c>
      <c r="BA97" s="21" t="str">
        <f aca="false">IF($A97="","",IF(WEEKDAY($A97,2)&lt;&gt;7,"",IF(AND(OR(AU97="",N(AU97)&gt;=$A97+16/24,N(AV97)&lt;=$A97+6/24),OR(AW97="",N(AW97)&lt;=$A97+6/24)),1,0)))</f>
        <v/>
      </c>
    </row>
    <row r="98" customFormat="false" ht="15" hidden="false" customHeight="false" outlineLevel="0" collapsed="false">
      <c r="A98" s="25" t="n">
        <f aca="false">IF(YEAR(DATE(Einstellungen!$C$4,1,1)+93)=Einstellungen!$C$4,DATE(Einstellungen!$C$4,1,1)+93,"")</f>
        <v>46481</v>
      </c>
      <c r="B98" s="26" t="str">
        <f aca="false">IF($A98="","",CHOOSE(WEEKDAY($A98,2),"Mo","Di","Mi","Do","Fr","Sa","So"))</f>
        <v>So</v>
      </c>
      <c r="C98" s="26" t="n">
        <f aca="false">IF($A98="","",MONTH($A98))</f>
        <v>4</v>
      </c>
      <c r="D98" s="26" t="str">
        <f aca="false">IF($A98="","",IF(INDEX(Muster!$C$6:$BF$6,1,MOD($A98-Einstellungen!$C$6,Einstellungen!$C$7)+1)="","-",INDEX(Muster!$C$6:$BF$6,1,MOD($A98-Einstellungen!$C$6,Einstellungen!$C$7)+1)))</f>
        <v>S</v>
      </c>
      <c r="E98" s="27" t="n">
        <f aca="false">IF($A98="","",IFERROR(VLOOKUP(D98,Schichten!$A$5:$G$24,6,FALSE()),0))</f>
        <v>8</v>
      </c>
      <c r="F98" s="27" t="n">
        <f aca="false">IF($A98="","",IFERROR(VLOOKUP(D98,Schichten!$A$5:$G$24,7,FALSE()),0))</f>
        <v>0</v>
      </c>
      <c r="G98" s="28" t="n">
        <f aca="false">IF($A98="","",IF(N(E98)=0,"",$A98+VLOOKUP(D98,Schichten!$A$5:$G$24,3,FALSE())))</f>
        <v>46481.5833333333</v>
      </c>
      <c r="H98" s="28" t="n">
        <f aca="false">IF(G98="","",$A98+VLOOKUP(D98,Schichten!$A$5:$G$24,4,FALSE())+IF(VLOOKUP(D98,Schichten!$A$5:$G$24,4,FALSE())&lt;=VLOOKUP(D98,Schichten!$A$5:$G$24,3,FALSE()),1,0))</f>
        <v>46481.9166666667</v>
      </c>
      <c r="I98" s="28" t="n">
        <f aca="false">IF($A98="","",IF(N(E97)&gt;0,H97,I97))</f>
        <v>46480.5833333333</v>
      </c>
      <c r="J98" s="27" t="n">
        <f aca="false">IF(OR(G98="",I98=""),"",(G98-I98)*24)</f>
        <v>24</v>
      </c>
      <c r="K98" s="21" t="n">
        <f aca="false">IF($A98="","",IF(N(E98)&gt;0,N(K97)+1,0))</f>
        <v>3</v>
      </c>
      <c r="L98" s="21" t="n">
        <f aca="false">IF($A98="","",IF(N(F98)&gt;0,N(L97)+1,0))</f>
        <v>0</v>
      </c>
      <c r="M98" s="21" t="n">
        <f aca="false">IF($A98="","",IF(WEEKDAY($A98,2)&lt;&gt;7,"",IF(AND(OR(G98="",N(G98)&gt;=$A98+16/24,N(H98)&lt;=$A98+6/24),OR(I98="",N(I98)&lt;=$A98+6/24)),1,0)))</f>
        <v>0</v>
      </c>
      <c r="N98" s="26" t="str">
        <f aca="false">IF($A98="","",IF(INDEX(Muster!$C$7:$BF$7,1,MOD($A98-Einstellungen!$C$6,Einstellungen!$C$7)+1)="","-",INDEX(Muster!$C$7:$BF$7,1,MOD($A98-Einstellungen!$C$6,Einstellungen!$C$7)+1)))</f>
        <v>F</v>
      </c>
      <c r="O98" s="27" t="n">
        <f aca="false">IF($A98="","",IFERROR(VLOOKUP(N98,Schichten!$A$5:$G$24,6,FALSE()),0))</f>
        <v>8</v>
      </c>
      <c r="P98" s="27" t="n">
        <f aca="false">IF($A98="","",IFERROR(VLOOKUP(N98,Schichten!$A$5:$G$24,7,FALSE()),0))</f>
        <v>0</v>
      </c>
      <c r="Q98" s="28" t="n">
        <f aca="false">IF($A98="","",IF(N(O98)=0,"",$A98+VLOOKUP(N98,Schichten!$A$5:$G$24,3,FALSE())))</f>
        <v>46481.25</v>
      </c>
      <c r="R98" s="28" t="n">
        <f aca="false">IF(Q98="","",$A98+VLOOKUP(N98,Schichten!$A$5:$G$24,4,FALSE())+IF(VLOOKUP(N98,Schichten!$A$5:$G$24,4,FALSE())&lt;=VLOOKUP(N98,Schichten!$A$5:$G$24,3,FALSE()),1,0))</f>
        <v>46481.5833333333</v>
      </c>
      <c r="S98" s="28" t="n">
        <f aca="false">IF($A98="","",IF(N(O97)&gt;0,R97,S97))</f>
        <v>46479.25</v>
      </c>
      <c r="T98" s="27" t="n">
        <f aca="false">IF(OR(Q98="",S98=""),"",(Q98-S98)*24)</f>
        <v>48</v>
      </c>
      <c r="U98" s="21" t="n">
        <f aca="false">IF($A98="","",IF(N(O98)&gt;0,N(U97)+1,0))</f>
        <v>1</v>
      </c>
      <c r="V98" s="21" t="n">
        <f aca="false">IF($A98="","",IF(N(P98)&gt;0,N(V97)+1,0))</f>
        <v>0</v>
      </c>
      <c r="W98" s="21" t="n">
        <f aca="false">IF($A98="","",IF(WEEKDAY($A98,2)&lt;&gt;7,"",IF(AND(OR(Q98="",N(Q98)&gt;=$A98+16/24,N(R98)&lt;=$A98+6/24),OR(S98="",N(S98)&lt;=$A98+6/24)),1,0)))</f>
        <v>0</v>
      </c>
      <c r="X98" s="26" t="str">
        <f aca="false">IF($A98="","",IF(INDEX(Muster!$C$8:$BF$8,1,MOD($A98-Einstellungen!$C$6,Einstellungen!$C$7)+1)="","-",INDEX(Muster!$C$8:$BF$8,1,MOD($A98-Einstellungen!$C$6,Einstellungen!$C$7)+1)))</f>
        <v>-</v>
      </c>
      <c r="Y98" s="27" t="n">
        <f aca="false">IF($A98="","",IFERROR(VLOOKUP(X98,Schichten!$A$5:$G$24,6,FALSE()),0))</f>
        <v>0</v>
      </c>
      <c r="Z98" s="27" t="n">
        <f aca="false">IF($A98="","",IFERROR(VLOOKUP(X98,Schichten!$A$5:$G$24,7,FALSE()),0))</f>
        <v>0</v>
      </c>
      <c r="AA98" s="28" t="str">
        <f aca="false">IF($A98="","",IF(N(Y98)=0,"",$A98+VLOOKUP(X98,Schichten!$A$5:$G$24,3,FALSE())))</f>
        <v/>
      </c>
      <c r="AB98" s="28" t="str">
        <f aca="false">IF(AA98="","",$A98+VLOOKUP(X98,Schichten!$A$5:$G$24,4,FALSE())+IF(VLOOKUP(X98,Schichten!$A$5:$G$24,4,FALSE())&lt;=VLOOKUP(X98,Schichten!$A$5:$G$24,3,FALSE()),1,0))</f>
        <v/>
      </c>
      <c r="AC98" s="28" t="n">
        <f aca="false">IF($A98="","",IF(N(Y97)&gt;0,AB97,AC97))</f>
        <v>46481.25</v>
      </c>
      <c r="AD98" s="27" t="str">
        <f aca="false">IF(OR(AA98="",AC98=""),"",(AA98-AC98)*24)</f>
        <v/>
      </c>
      <c r="AE98" s="21" t="n">
        <f aca="false">IF($A98="","",IF(N(Y98)&gt;0,N(AE97)+1,0))</f>
        <v>0</v>
      </c>
      <c r="AF98" s="21" t="n">
        <f aca="false">IF($A98="","",IF(N(Z98)&gt;0,N(AF97)+1,0))</f>
        <v>0</v>
      </c>
      <c r="AG98" s="21" t="n">
        <f aca="false">IF($A98="","",IF(WEEKDAY($A98,2)&lt;&gt;7,"",IF(AND(OR(AA98="",N(AA98)&gt;=$A98+16/24,N(AB98)&lt;=$A98+6/24),OR(AC98="",N(AC98)&lt;=$A98+6/24)),1,0)))</f>
        <v>1</v>
      </c>
      <c r="AH98" s="26" t="str">
        <f aca="false">IF($A98="","",IF(INDEX(Muster!$C$9:$BF$9,1,MOD($A98-Einstellungen!$C$6,Einstellungen!$C$7)+1)="","-",INDEX(Muster!$C$9:$BF$9,1,MOD($A98-Einstellungen!$C$6,Einstellungen!$C$7)+1)))</f>
        <v>N</v>
      </c>
      <c r="AI98" s="27" t="n">
        <f aca="false">IF($A98="","",IFERROR(VLOOKUP(AH98,Schichten!$A$5:$G$24,6,FALSE()),0))</f>
        <v>8</v>
      </c>
      <c r="AJ98" s="27" t="n">
        <f aca="false">IF($A98="","",IFERROR(VLOOKUP(AH98,Schichten!$A$5:$G$24,7,FALSE()),0))</f>
        <v>7</v>
      </c>
      <c r="AK98" s="28" t="n">
        <f aca="false">IF($A98="","",IF(N(AI98)=0,"",$A98+VLOOKUP(AH98,Schichten!$A$5:$G$24,3,FALSE())))</f>
        <v>46481.9166666667</v>
      </c>
      <c r="AL98" s="28" t="n">
        <f aca="false">IF(AK98="","",$A98+VLOOKUP(AH98,Schichten!$A$5:$G$24,4,FALSE())+IF(VLOOKUP(AH98,Schichten!$A$5:$G$24,4,FALSE())&lt;=VLOOKUP(AH98,Schichten!$A$5:$G$24,3,FALSE()),1,0))</f>
        <v>46482.25</v>
      </c>
      <c r="AM98" s="28" t="n">
        <f aca="false">IF($A98="","",IF(N(AI97)&gt;0,AL97,AM97))</f>
        <v>46480.9166666667</v>
      </c>
      <c r="AN98" s="27" t="n">
        <f aca="false">IF(OR(AK98="",AM98=""),"",(AK98-AM98)*24)</f>
        <v>24</v>
      </c>
      <c r="AO98" s="21" t="n">
        <f aca="false">IF($A98="","",IF(N(AI98)&gt;0,N(AO97)+1,0))</f>
        <v>5</v>
      </c>
      <c r="AP98" s="21" t="n">
        <f aca="false">IF($A98="","",IF(N(AJ98)&gt;0,N(AP97)+1,0))</f>
        <v>1</v>
      </c>
      <c r="AQ98" s="21" t="n">
        <f aca="false">IF($A98="","",IF(WEEKDAY($A98,2)&lt;&gt;7,"",IF(AND(OR(AK98="",N(AK98)&gt;=$A98+16/24,N(AL98)&lt;=$A98+6/24),OR(AM98="",N(AM98)&lt;=$A98+6/24)),1,0)))</f>
        <v>1</v>
      </c>
      <c r="AR98" s="26" t="str">
        <f aca="false">IF($A98="","",IF(INDEX(Muster!$C$10:$BF$10,1,MOD($A98-Einstellungen!$C$6,Einstellungen!$C$7)+1)="","-",INDEX(Muster!$C$10:$BF$10,1,MOD($A98-Einstellungen!$C$6,Einstellungen!$C$7)+1)))</f>
        <v>-</v>
      </c>
      <c r="AS98" s="27" t="n">
        <f aca="false">IF($A98="","",IFERROR(VLOOKUP(AR98,Schichten!$A$5:$G$24,6,FALSE()),0))</f>
        <v>0</v>
      </c>
      <c r="AT98" s="27" t="n">
        <f aca="false">IF($A98="","",IFERROR(VLOOKUP(AR98,Schichten!$A$5:$G$24,7,FALSE()),0))</f>
        <v>0</v>
      </c>
      <c r="AU98" s="28" t="str">
        <f aca="false">IF($A98="","",IF(N(AS98)=0,"",$A98+VLOOKUP(AR98,Schichten!$A$5:$G$24,3,FALSE())))</f>
        <v/>
      </c>
      <c r="AV98" s="28" t="str">
        <f aca="false">IF(AU98="","",$A98+VLOOKUP(AR98,Schichten!$A$5:$G$24,4,FALSE())+IF(VLOOKUP(AR98,Schichten!$A$5:$G$24,4,FALSE())&lt;=VLOOKUP(AR98,Schichten!$A$5:$G$24,3,FALSE()),1,0))</f>
        <v/>
      </c>
      <c r="AW98" s="28" t="str">
        <f aca="false">IF($A98="","",IF(N(AS97)&gt;0,AV97,AW97))</f>
        <v/>
      </c>
      <c r="AX98" s="27" t="str">
        <f aca="false">IF(OR(AU98="",AW98=""),"",(AU98-AW98)*24)</f>
        <v/>
      </c>
      <c r="AY98" s="21" t="n">
        <f aca="false">IF($A98="","",IF(N(AS98)&gt;0,N(AY97)+1,0))</f>
        <v>0</v>
      </c>
      <c r="AZ98" s="21" t="n">
        <f aca="false">IF($A98="","",IF(N(AT98)&gt;0,N(AZ97)+1,0))</f>
        <v>0</v>
      </c>
      <c r="BA98" s="21" t="n">
        <f aca="false">IF($A98="","",IF(WEEKDAY($A98,2)&lt;&gt;7,"",IF(AND(OR(AU98="",N(AU98)&gt;=$A98+16/24,N(AV98)&lt;=$A98+6/24),OR(AW98="",N(AW98)&lt;=$A98+6/24)),1,0)))</f>
        <v>1</v>
      </c>
    </row>
    <row r="99" customFormat="false" ht="15" hidden="false" customHeight="false" outlineLevel="0" collapsed="false">
      <c r="A99" s="25" t="n">
        <f aca="false">IF(YEAR(DATE(Einstellungen!$C$4,1,1)+94)=Einstellungen!$C$4,DATE(Einstellungen!$C$4,1,1)+94,"")</f>
        <v>46482</v>
      </c>
      <c r="B99" s="26" t="str">
        <f aca="false">IF($A99="","",CHOOSE(WEEKDAY($A99,2),"Mo","Di","Mi","Do","Fr","Sa","So"))</f>
        <v>Mo</v>
      </c>
      <c r="C99" s="26" t="n">
        <f aca="false">IF($A99="","",MONTH($A99))</f>
        <v>4</v>
      </c>
      <c r="D99" s="26" t="str">
        <f aca="false">IF($A99="","",IF(INDEX(Muster!$C$6:$BF$6,1,MOD($A99-Einstellungen!$C$6,Einstellungen!$C$7)+1)="","-",INDEX(Muster!$C$6:$BF$6,1,MOD($A99-Einstellungen!$C$6,Einstellungen!$C$7)+1)))</f>
        <v>S</v>
      </c>
      <c r="E99" s="27" t="n">
        <f aca="false">IF($A99="","",IFERROR(VLOOKUP(D99,Schichten!$A$5:$G$24,6,FALSE()),0))</f>
        <v>8</v>
      </c>
      <c r="F99" s="27" t="n">
        <f aca="false">IF($A99="","",IFERROR(VLOOKUP(D99,Schichten!$A$5:$G$24,7,FALSE()),0))</f>
        <v>0</v>
      </c>
      <c r="G99" s="28" t="n">
        <f aca="false">IF($A99="","",IF(N(E99)=0,"",$A99+VLOOKUP(D99,Schichten!$A$5:$G$24,3,FALSE())))</f>
        <v>46482.5833333333</v>
      </c>
      <c r="H99" s="28" t="n">
        <f aca="false">IF(G99="","",$A99+VLOOKUP(D99,Schichten!$A$5:$G$24,4,FALSE())+IF(VLOOKUP(D99,Schichten!$A$5:$G$24,4,FALSE())&lt;=VLOOKUP(D99,Schichten!$A$5:$G$24,3,FALSE()),1,0))</f>
        <v>46482.9166666667</v>
      </c>
      <c r="I99" s="28" t="n">
        <f aca="false">IF($A99="","",IF(N(E98)&gt;0,H98,I98))</f>
        <v>46481.9166666667</v>
      </c>
      <c r="J99" s="27" t="n">
        <f aca="false">IF(OR(G99="",I99=""),"",(G99-I99)*24)</f>
        <v>16</v>
      </c>
      <c r="K99" s="21" t="n">
        <f aca="false">IF($A99="","",IF(N(E99)&gt;0,N(K98)+1,0))</f>
        <v>4</v>
      </c>
      <c r="L99" s="21" t="n">
        <f aca="false">IF($A99="","",IF(N(F99)&gt;0,N(L98)+1,0))</f>
        <v>0</v>
      </c>
      <c r="M99" s="21" t="str">
        <f aca="false">IF($A99="","",IF(WEEKDAY($A99,2)&lt;&gt;7,"",IF(AND(OR(G99="",N(G99)&gt;=$A99+16/24,N(H99)&lt;=$A99+6/24),OR(I99="",N(I99)&lt;=$A99+6/24)),1,0)))</f>
        <v/>
      </c>
      <c r="N99" s="26" t="str">
        <f aca="false">IF($A99="","",IF(INDEX(Muster!$C$7:$BF$7,1,MOD($A99-Einstellungen!$C$6,Einstellungen!$C$7)+1)="","-",INDEX(Muster!$C$7:$BF$7,1,MOD($A99-Einstellungen!$C$6,Einstellungen!$C$7)+1)))</f>
        <v>F</v>
      </c>
      <c r="O99" s="27" t="n">
        <f aca="false">IF($A99="","",IFERROR(VLOOKUP(N99,Schichten!$A$5:$G$24,6,FALSE()),0))</f>
        <v>8</v>
      </c>
      <c r="P99" s="27" t="n">
        <f aca="false">IF($A99="","",IFERROR(VLOOKUP(N99,Schichten!$A$5:$G$24,7,FALSE()),0))</f>
        <v>0</v>
      </c>
      <c r="Q99" s="28" t="n">
        <f aca="false">IF($A99="","",IF(N(O99)=0,"",$A99+VLOOKUP(N99,Schichten!$A$5:$G$24,3,FALSE())))</f>
        <v>46482.25</v>
      </c>
      <c r="R99" s="28" t="n">
        <f aca="false">IF(Q99="","",$A99+VLOOKUP(N99,Schichten!$A$5:$G$24,4,FALSE())+IF(VLOOKUP(N99,Schichten!$A$5:$G$24,4,FALSE())&lt;=VLOOKUP(N99,Schichten!$A$5:$G$24,3,FALSE()),1,0))</f>
        <v>46482.5833333333</v>
      </c>
      <c r="S99" s="28" t="n">
        <f aca="false">IF($A99="","",IF(N(O98)&gt;0,R98,S98))</f>
        <v>46481.5833333333</v>
      </c>
      <c r="T99" s="27" t="n">
        <f aca="false">IF(OR(Q99="",S99=""),"",(Q99-S99)*24)</f>
        <v>16</v>
      </c>
      <c r="U99" s="21" t="n">
        <f aca="false">IF($A99="","",IF(N(O99)&gt;0,N(U98)+1,0))</f>
        <v>2</v>
      </c>
      <c r="V99" s="21" t="n">
        <f aca="false">IF($A99="","",IF(N(P99)&gt;0,N(V98)+1,0))</f>
        <v>0</v>
      </c>
      <c r="W99" s="21" t="str">
        <f aca="false">IF($A99="","",IF(WEEKDAY($A99,2)&lt;&gt;7,"",IF(AND(OR(Q99="",N(Q99)&gt;=$A99+16/24,N(R99)&lt;=$A99+6/24),OR(S99="",N(S99)&lt;=$A99+6/24)),1,0)))</f>
        <v/>
      </c>
      <c r="X99" s="26" t="str">
        <f aca="false">IF($A99="","",IF(INDEX(Muster!$C$8:$BF$8,1,MOD($A99-Einstellungen!$C$6,Einstellungen!$C$7)+1)="","-",INDEX(Muster!$C$8:$BF$8,1,MOD($A99-Einstellungen!$C$6,Einstellungen!$C$7)+1)))</f>
        <v>-</v>
      </c>
      <c r="Y99" s="27" t="n">
        <f aca="false">IF($A99="","",IFERROR(VLOOKUP(X99,Schichten!$A$5:$G$24,6,FALSE()),0))</f>
        <v>0</v>
      </c>
      <c r="Z99" s="27" t="n">
        <f aca="false">IF($A99="","",IFERROR(VLOOKUP(X99,Schichten!$A$5:$G$24,7,FALSE()),0))</f>
        <v>0</v>
      </c>
      <c r="AA99" s="28" t="str">
        <f aca="false">IF($A99="","",IF(N(Y99)=0,"",$A99+VLOOKUP(X99,Schichten!$A$5:$G$24,3,FALSE())))</f>
        <v/>
      </c>
      <c r="AB99" s="28" t="str">
        <f aca="false">IF(AA99="","",$A99+VLOOKUP(X99,Schichten!$A$5:$G$24,4,FALSE())+IF(VLOOKUP(X99,Schichten!$A$5:$G$24,4,FALSE())&lt;=VLOOKUP(X99,Schichten!$A$5:$G$24,3,FALSE()),1,0))</f>
        <v/>
      </c>
      <c r="AC99" s="28" t="n">
        <f aca="false">IF($A99="","",IF(N(Y98)&gt;0,AB98,AC98))</f>
        <v>46481.25</v>
      </c>
      <c r="AD99" s="27" t="str">
        <f aca="false">IF(OR(AA99="",AC99=""),"",(AA99-AC99)*24)</f>
        <v/>
      </c>
      <c r="AE99" s="21" t="n">
        <f aca="false">IF($A99="","",IF(N(Y99)&gt;0,N(AE98)+1,0))</f>
        <v>0</v>
      </c>
      <c r="AF99" s="21" t="n">
        <f aca="false">IF($A99="","",IF(N(Z99)&gt;0,N(AF98)+1,0))</f>
        <v>0</v>
      </c>
      <c r="AG99" s="21" t="str">
        <f aca="false">IF($A99="","",IF(WEEKDAY($A99,2)&lt;&gt;7,"",IF(AND(OR(AA99="",N(AA99)&gt;=$A99+16/24,N(AB99)&lt;=$A99+6/24),OR(AC99="",N(AC99)&lt;=$A99+6/24)),1,0)))</f>
        <v/>
      </c>
      <c r="AH99" s="26" t="str">
        <f aca="false">IF($A99="","",IF(INDEX(Muster!$C$9:$BF$9,1,MOD($A99-Einstellungen!$C$6,Einstellungen!$C$7)+1)="","-",INDEX(Muster!$C$9:$BF$9,1,MOD($A99-Einstellungen!$C$6,Einstellungen!$C$7)+1)))</f>
        <v>N</v>
      </c>
      <c r="AI99" s="27" t="n">
        <f aca="false">IF($A99="","",IFERROR(VLOOKUP(AH99,Schichten!$A$5:$G$24,6,FALSE()),0))</f>
        <v>8</v>
      </c>
      <c r="AJ99" s="27" t="n">
        <f aca="false">IF($A99="","",IFERROR(VLOOKUP(AH99,Schichten!$A$5:$G$24,7,FALSE()),0))</f>
        <v>7</v>
      </c>
      <c r="AK99" s="28" t="n">
        <f aca="false">IF($A99="","",IF(N(AI99)=0,"",$A99+VLOOKUP(AH99,Schichten!$A$5:$G$24,3,FALSE())))</f>
        <v>46482.9166666667</v>
      </c>
      <c r="AL99" s="28" t="n">
        <f aca="false">IF(AK99="","",$A99+VLOOKUP(AH99,Schichten!$A$5:$G$24,4,FALSE())+IF(VLOOKUP(AH99,Schichten!$A$5:$G$24,4,FALSE())&lt;=VLOOKUP(AH99,Schichten!$A$5:$G$24,3,FALSE()),1,0))</f>
        <v>46483.25</v>
      </c>
      <c r="AM99" s="28" t="n">
        <f aca="false">IF($A99="","",IF(N(AI98)&gt;0,AL98,AM98))</f>
        <v>46482.25</v>
      </c>
      <c r="AN99" s="27" t="n">
        <f aca="false">IF(OR(AK99="",AM99=""),"",(AK99-AM99)*24)</f>
        <v>16</v>
      </c>
      <c r="AO99" s="21" t="n">
        <f aca="false">IF($A99="","",IF(N(AI99)&gt;0,N(AO98)+1,0))</f>
        <v>6</v>
      </c>
      <c r="AP99" s="21" t="n">
        <f aca="false">IF($A99="","",IF(N(AJ99)&gt;0,N(AP98)+1,0))</f>
        <v>2</v>
      </c>
      <c r="AQ99" s="21" t="str">
        <f aca="false">IF($A99="","",IF(WEEKDAY($A99,2)&lt;&gt;7,"",IF(AND(OR(AK99="",N(AK99)&gt;=$A99+16/24,N(AL99)&lt;=$A99+6/24),OR(AM99="",N(AM99)&lt;=$A99+6/24)),1,0)))</f>
        <v/>
      </c>
      <c r="AR99" s="26" t="str">
        <f aca="false">IF($A99="","",IF(INDEX(Muster!$C$10:$BF$10,1,MOD($A99-Einstellungen!$C$6,Einstellungen!$C$7)+1)="","-",INDEX(Muster!$C$10:$BF$10,1,MOD($A99-Einstellungen!$C$6,Einstellungen!$C$7)+1)))</f>
        <v>-</v>
      </c>
      <c r="AS99" s="27" t="n">
        <f aca="false">IF($A99="","",IFERROR(VLOOKUP(AR99,Schichten!$A$5:$G$24,6,FALSE()),0))</f>
        <v>0</v>
      </c>
      <c r="AT99" s="27" t="n">
        <f aca="false">IF($A99="","",IFERROR(VLOOKUP(AR99,Schichten!$A$5:$G$24,7,FALSE()),0))</f>
        <v>0</v>
      </c>
      <c r="AU99" s="28" t="str">
        <f aca="false">IF($A99="","",IF(N(AS99)=0,"",$A99+VLOOKUP(AR99,Schichten!$A$5:$G$24,3,FALSE())))</f>
        <v/>
      </c>
      <c r="AV99" s="28" t="str">
        <f aca="false">IF(AU99="","",$A99+VLOOKUP(AR99,Schichten!$A$5:$G$24,4,FALSE())+IF(VLOOKUP(AR99,Schichten!$A$5:$G$24,4,FALSE())&lt;=VLOOKUP(AR99,Schichten!$A$5:$G$24,3,FALSE()),1,0))</f>
        <v/>
      </c>
      <c r="AW99" s="28" t="str">
        <f aca="false">IF($A99="","",IF(N(AS98)&gt;0,AV98,AW98))</f>
        <v/>
      </c>
      <c r="AX99" s="27" t="str">
        <f aca="false">IF(OR(AU99="",AW99=""),"",(AU99-AW99)*24)</f>
        <v/>
      </c>
      <c r="AY99" s="21" t="n">
        <f aca="false">IF($A99="","",IF(N(AS99)&gt;0,N(AY98)+1,0))</f>
        <v>0</v>
      </c>
      <c r="AZ99" s="21" t="n">
        <f aca="false">IF($A99="","",IF(N(AT99)&gt;0,N(AZ98)+1,0))</f>
        <v>0</v>
      </c>
      <c r="BA99" s="21" t="str">
        <f aca="false">IF($A99="","",IF(WEEKDAY($A99,2)&lt;&gt;7,"",IF(AND(OR(AU99="",N(AU99)&gt;=$A99+16/24,N(AV99)&lt;=$A99+6/24),OR(AW99="",N(AW99)&lt;=$A99+6/24)),1,0)))</f>
        <v/>
      </c>
    </row>
    <row r="100" customFormat="false" ht="15" hidden="false" customHeight="false" outlineLevel="0" collapsed="false">
      <c r="A100" s="25" t="n">
        <f aca="false">IF(YEAR(DATE(Einstellungen!$C$4,1,1)+95)=Einstellungen!$C$4,DATE(Einstellungen!$C$4,1,1)+95,"")</f>
        <v>46483</v>
      </c>
      <c r="B100" s="26" t="str">
        <f aca="false">IF($A100="","",CHOOSE(WEEKDAY($A100,2),"Mo","Di","Mi","Do","Fr","Sa","So"))</f>
        <v>Di</v>
      </c>
      <c r="C100" s="26" t="n">
        <f aca="false">IF($A100="","",MONTH($A100))</f>
        <v>4</v>
      </c>
      <c r="D100" s="26" t="str">
        <f aca="false">IF($A100="","",IF(INDEX(Muster!$C$6:$BF$6,1,MOD($A100-Einstellungen!$C$6,Einstellungen!$C$7)+1)="","-",INDEX(Muster!$C$6:$BF$6,1,MOD($A100-Einstellungen!$C$6,Einstellungen!$C$7)+1)))</f>
        <v>N</v>
      </c>
      <c r="E100" s="27" t="n">
        <f aca="false">IF($A100="","",IFERROR(VLOOKUP(D100,Schichten!$A$5:$G$24,6,FALSE()),0))</f>
        <v>8</v>
      </c>
      <c r="F100" s="27" t="n">
        <f aca="false">IF($A100="","",IFERROR(VLOOKUP(D100,Schichten!$A$5:$G$24,7,FALSE()),0))</f>
        <v>7</v>
      </c>
      <c r="G100" s="28" t="n">
        <f aca="false">IF($A100="","",IF(N(E100)=0,"",$A100+VLOOKUP(D100,Schichten!$A$5:$G$24,3,FALSE())))</f>
        <v>46483.9166666667</v>
      </c>
      <c r="H100" s="28" t="n">
        <f aca="false">IF(G100="","",$A100+VLOOKUP(D100,Schichten!$A$5:$G$24,4,FALSE())+IF(VLOOKUP(D100,Schichten!$A$5:$G$24,4,FALSE())&lt;=VLOOKUP(D100,Schichten!$A$5:$G$24,3,FALSE()),1,0))</f>
        <v>46484.25</v>
      </c>
      <c r="I100" s="28" t="n">
        <f aca="false">IF($A100="","",IF(N(E99)&gt;0,H99,I99))</f>
        <v>46482.9166666667</v>
      </c>
      <c r="J100" s="27" t="n">
        <f aca="false">IF(OR(G100="",I100=""),"",(G100-I100)*24)</f>
        <v>24</v>
      </c>
      <c r="K100" s="21" t="n">
        <f aca="false">IF($A100="","",IF(N(E100)&gt;0,N(K99)+1,0))</f>
        <v>5</v>
      </c>
      <c r="L100" s="21" t="n">
        <f aca="false">IF($A100="","",IF(N(F100)&gt;0,N(L99)+1,0))</f>
        <v>1</v>
      </c>
      <c r="M100" s="21" t="str">
        <f aca="false">IF($A100="","",IF(WEEKDAY($A100,2)&lt;&gt;7,"",IF(AND(OR(G100="",N(G100)&gt;=$A100+16/24,N(H100)&lt;=$A100+6/24),OR(I100="",N(I100)&lt;=$A100+6/24)),1,0)))</f>
        <v/>
      </c>
      <c r="N100" s="26" t="str">
        <f aca="false">IF($A100="","",IF(INDEX(Muster!$C$7:$BF$7,1,MOD($A100-Einstellungen!$C$6,Einstellungen!$C$7)+1)="","-",INDEX(Muster!$C$7:$BF$7,1,MOD($A100-Einstellungen!$C$6,Einstellungen!$C$7)+1)))</f>
        <v>S</v>
      </c>
      <c r="O100" s="27" t="n">
        <f aca="false">IF($A100="","",IFERROR(VLOOKUP(N100,Schichten!$A$5:$G$24,6,FALSE()),0))</f>
        <v>8</v>
      </c>
      <c r="P100" s="27" t="n">
        <f aca="false">IF($A100="","",IFERROR(VLOOKUP(N100,Schichten!$A$5:$G$24,7,FALSE()),0))</f>
        <v>0</v>
      </c>
      <c r="Q100" s="28" t="n">
        <f aca="false">IF($A100="","",IF(N(O100)=0,"",$A100+VLOOKUP(N100,Schichten!$A$5:$G$24,3,FALSE())))</f>
        <v>46483.5833333333</v>
      </c>
      <c r="R100" s="28" t="n">
        <f aca="false">IF(Q100="","",$A100+VLOOKUP(N100,Schichten!$A$5:$G$24,4,FALSE())+IF(VLOOKUP(N100,Schichten!$A$5:$G$24,4,FALSE())&lt;=VLOOKUP(N100,Schichten!$A$5:$G$24,3,FALSE()),1,0))</f>
        <v>46483.9166666667</v>
      </c>
      <c r="S100" s="28" t="n">
        <f aca="false">IF($A100="","",IF(N(O99)&gt;0,R99,S99))</f>
        <v>46482.5833333333</v>
      </c>
      <c r="T100" s="27" t="n">
        <f aca="false">IF(OR(Q100="",S100=""),"",(Q100-S100)*24)</f>
        <v>24</v>
      </c>
      <c r="U100" s="21" t="n">
        <f aca="false">IF($A100="","",IF(N(O100)&gt;0,N(U99)+1,0))</f>
        <v>3</v>
      </c>
      <c r="V100" s="21" t="n">
        <f aca="false">IF($A100="","",IF(N(P100)&gt;0,N(V99)+1,0))</f>
        <v>0</v>
      </c>
      <c r="W100" s="21" t="str">
        <f aca="false">IF($A100="","",IF(WEEKDAY($A100,2)&lt;&gt;7,"",IF(AND(OR(Q100="",N(Q100)&gt;=$A100+16/24,N(R100)&lt;=$A100+6/24),OR(S100="",N(S100)&lt;=$A100+6/24)),1,0)))</f>
        <v/>
      </c>
      <c r="X100" s="26" t="str">
        <f aca="false">IF($A100="","",IF(INDEX(Muster!$C$8:$BF$8,1,MOD($A100-Einstellungen!$C$6,Einstellungen!$C$7)+1)="","-",INDEX(Muster!$C$8:$BF$8,1,MOD($A100-Einstellungen!$C$6,Einstellungen!$C$7)+1)))</f>
        <v>F</v>
      </c>
      <c r="Y100" s="27" t="n">
        <f aca="false">IF($A100="","",IFERROR(VLOOKUP(X100,Schichten!$A$5:$G$24,6,FALSE()),0))</f>
        <v>8</v>
      </c>
      <c r="Z100" s="27" t="n">
        <f aca="false">IF($A100="","",IFERROR(VLOOKUP(X100,Schichten!$A$5:$G$24,7,FALSE()),0))</f>
        <v>0</v>
      </c>
      <c r="AA100" s="28" t="n">
        <f aca="false">IF($A100="","",IF(N(Y100)=0,"",$A100+VLOOKUP(X100,Schichten!$A$5:$G$24,3,FALSE())))</f>
        <v>46483.25</v>
      </c>
      <c r="AB100" s="28" t="n">
        <f aca="false">IF(AA100="","",$A100+VLOOKUP(X100,Schichten!$A$5:$G$24,4,FALSE())+IF(VLOOKUP(X100,Schichten!$A$5:$G$24,4,FALSE())&lt;=VLOOKUP(X100,Schichten!$A$5:$G$24,3,FALSE()),1,0))</f>
        <v>46483.5833333333</v>
      </c>
      <c r="AC100" s="28" t="n">
        <f aca="false">IF($A100="","",IF(N(Y99)&gt;0,AB99,AC99))</f>
        <v>46481.25</v>
      </c>
      <c r="AD100" s="27" t="n">
        <f aca="false">IF(OR(AA100="",AC100=""),"",(AA100-AC100)*24)</f>
        <v>48</v>
      </c>
      <c r="AE100" s="21" t="n">
        <f aca="false">IF($A100="","",IF(N(Y100)&gt;0,N(AE99)+1,0))</f>
        <v>1</v>
      </c>
      <c r="AF100" s="21" t="n">
        <f aca="false">IF($A100="","",IF(N(Z100)&gt;0,N(AF99)+1,0))</f>
        <v>0</v>
      </c>
      <c r="AG100" s="21" t="str">
        <f aca="false">IF($A100="","",IF(WEEKDAY($A100,2)&lt;&gt;7,"",IF(AND(OR(AA100="",N(AA100)&gt;=$A100+16/24,N(AB100)&lt;=$A100+6/24),OR(AC100="",N(AC100)&lt;=$A100+6/24)),1,0)))</f>
        <v/>
      </c>
      <c r="AH100" s="26" t="str">
        <f aca="false">IF($A100="","",IF(INDEX(Muster!$C$9:$BF$9,1,MOD($A100-Einstellungen!$C$6,Einstellungen!$C$7)+1)="","-",INDEX(Muster!$C$9:$BF$9,1,MOD($A100-Einstellungen!$C$6,Einstellungen!$C$7)+1)))</f>
        <v>-</v>
      </c>
      <c r="AI100" s="27" t="n">
        <f aca="false">IF($A100="","",IFERROR(VLOOKUP(AH100,Schichten!$A$5:$G$24,6,FALSE()),0))</f>
        <v>0</v>
      </c>
      <c r="AJ100" s="27" t="n">
        <f aca="false">IF($A100="","",IFERROR(VLOOKUP(AH100,Schichten!$A$5:$G$24,7,FALSE()),0))</f>
        <v>0</v>
      </c>
      <c r="AK100" s="28" t="str">
        <f aca="false">IF($A100="","",IF(N(AI100)=0,"",$A100+VLOOKUP(AH100,Schichten!$A$5:$G$24,3,FALSE())))</f>
        <v/>
      </c>
      <c r="AL100" s="28" t="str">
        <f aca="false">IF(AK100="","",$A100+VLOOKUP(AH100,Schichten!$A$5:$G$24,4,FALSE())+IF(VLOOKUP(AH100,Schichten!$A$5:$G$24,4,FALSE())&lt;=VLOOKUP(AH100,Schichten!$A$5:$G$24,3,FALSE()),1,0))</f>
        <v/>
      </c>
      <c r="AM100" s="28" t="n">
        <f aca="false">IF($A100="","",IF(N(AI99)&gt;0,AL99,AM99))</f>
        <v>46483.25</v>
      </c>
      <c r="AN100" s="27" t="str">
        <f aca="false">IF(OR(AK100="",AM100=""),"",(AK100-AM100)*24)</f>
        <v/>
      </c>
      <c r="AO100" s="21" t="n">
        <f aca="false">IF($A100="","",IF(N(AI100)&gt;0,N(AO99)+1,0))</f>
        <v>0</v>
      </c>
      <c r="AP100" s="21" t="n">
        <f aca="false">IF($A100="","",IF(N(AJ100)&gt;0,N(AP99)+1,0))</f>
        <v>0</v>
      </c>
      <c r="AQ100" s="21" t="str">
        <f aca="false">IF($A100="","",IF(WEEKDAY($A100,2)&lt;&gt;7,"",IF(AND(OR(AK100="",N(AK100)&gt;=$A100+16/24,N(AL100)&lt;=$A100+6/24),OR(AM100="",N(AM100)&lt;=$A100+6/24)),1,0)))</f>
        <v/>
      </c>
      <c r="AR100" s="26" t="str">
        <f aca="false">IF($A100="","",IF(INDEX(Muster!$C$10:$BF$10,1,MOD($A100-Einstellungen!$C$6,Einstellungen!$C$7)+1)="","-",INDEX(Muster!$C$10:$BF$10,1,MOD($A100-Einstellungen!$C$6,Einstellungen!$C$7)+1)))</f>
        <v>-</v>
      </c>
      <c r="AS100" s="27" t="n">
        <f aca="false">IF($A100="","",IFERROR(VLOOKUP(AR100,Schichten!$A$5:$G$24,6,FALSE()),0))</f>
        <v>0</v>
      </c>
      <c r="AT100" s="27" t="n">
        <f aca="false">IF($A100="","",IFERROR(VLOOKUP(AR100,Schichten!$A$5:$G$24,7,FALSE()),0))</f>
        <v>0</v>
      </c>
      <c r="AU100" s="28" t="str">
        <f aca="false">IF($A100="","",IF(N(AS100)=0,"",$A100+VLOOKUP(AR100,Schichten!$A$5:$G$24,3,FALSE())))</f>
        <v/>
      </c>
      <c r="AV100" s="28" t="str">
        <f aca="false">IF(AU100="","",$A100+VLOOKUP(AR100,Schichten!$A$5:$G$24,4,FALSE())+IF(VLOOKUP(AR100,Schichten!$A$5:$G$24,4,FALSE())&lt;=VLOOKUP(AR100,Schichten!$A$5:$G$24,3,FALSE()),1,0))</f>
        <v/>
      </c>
      <c r="AW100" s="28" t="str">
        <f aca="false">IF($A100="","",IF(N(AS99)&gt;0,AV99,AW99))</f>
        <v/>
      </c>
      <c r="AX100" s="27" t="str">
        <f aca="false">IF(OR(AU100="",AW100=""),"",(AU100-AW100)*24)</f>
        <v/>
      </c>
      <c r="AY100" s="21" t="n">
        <f aca="false">IF($A100="","",IF(N(AS100)&gt;0,N(AY99)+1,0))</f>
        <v>0</v>
      </c>
      <c r="AZ100" s="21" t="n">
        <f aca="false">IF($A100="","",IF(N(AT100)&gt;0,N(AZ99)+1,0))</f>
        <v>0</v>
      </c>
      <c r="BA100" s="21" t="str">
        <f aca="false">IF($A100="","",IF(WEEKDAY($A100,2)&lt;&gt;7,"",IF(AND(OR(AU100="",N(AU100)&gt;=$A100+16/24,N(AV100)&lt;=$A100+6/24),OR(AW100="",N(AW100)&lt;=$A100+6/24)),1,0)))</f>
        <v/>
      </c>
    </row>
    <row r="101" customFormat="false" ht="15" hidden="false" customHeight="false" outlineLevel="0" collapsed="false">
      <c r="A101" s="25" t="n">
        <f aca="false">IF(YEAR(DATE(Einstellungen!$C$4,1,1)+96)=Einstellungen!$C$4,DATE(Einstellungen!$C$4,1,1)+96,"")</f>
        <v>46484</v>
      </c>
      <c r="B101" s="26" t="str">
        <f aca="false">IF($A101="","",CHOOSE(WEEKDAY($A101,2),"Mo","Di","Mi","Do","Fr","Sa","So"))</f>
        <v>Mi</v>
      </c>
      <c r="C101" s="26" t="n">
        <f aca="false">IF($A101="","",MONTH($A101))</f>
        <v>4</v>
      </c>
      <c r="D101" s="26" t="str">
        <f aca="false">IF($A101="","",IF(INDEX(Muster!$C$6:$BF$6,1,MOD($A101-Einstellungen!$C$6,Einstellungen!$C$7)+1)="","-",INDEX(Muster!$C$6:$BF$6,1,MOD($A101-Einstellungen!$C$6,Einstellungen!$C$7)+1)))</f>
        <v>N</v>
      </c>
      <c r="E101" s="27" t="n">
        <f aca="false">IF($A101="","",IFERROR(VLOOKUP(D101,Schichten!$A$5:$G$24,6,FALSE()),0))</f>
        <v>8</v>
      </c>
      <c r="F101" s="27" t="n">
        <f aca="false">IF($A101="","",IFERROR(VLOOKUP(D101,Schichten!$A$5:$G$24,7,FALSE()),0))</f>
        <v>7</v>
      </c>
      <c r="G101" s="28" t="n">
        <f aca="false">IF($A101="","",IF(N(E101)=0,"",$A101+VLOOKUP(D101,Schichten!$A$5:$G$24,3,FALSE())))</f>
        <v>46484.9166666667</v>
      </c>
      <c r="H101" s="28" t="n">
        <f aca="false">IF(G101="","",$A101+VLOOKUP(D101,Schichten!$A$5:$G$24,4,FALSE())+IF(VLOOKUP(D101,Schichten!$A$5:$G$24,4,FALSE())&lt;=VLOOKUP(D101,Schichten!$A$5:$G$24,3,FALSE()),1,0))</f>
        <v>46485.25</v>
      </c>
      <c r="I101" s="28" t="n">
        <f aca="false">IF($A101="","",IF(N(E100)&gt;0,H100,I100))</f>
        <v>46484.25</v>
      </c>
      <c r="J101" s="27" t="n">
        <f aca="false">IF(OR(G101="",I101=""),"",(G101-I101)*24)</f>
        <v>16</v>
      </c>
      <c r="K101" s="21" t="n">
        <f aca="false">IF($A101="","",IF(N(E101)&gt;0,N(K100)+1,0))</f>
        <v>6</v>
      </c>
      <c r="L101" s="21" t="n">
        <f aca="false">IF($A101="","",IF(N(F101)&gt;0,N(L100)+1,0))</f>
        <v>2</v>
      </c>
      <c r="M101" s="21" t="str">
        <f aca="false">IF($A101="","",IF(WEEKDAY($A101,2)&lt;&gt;7,"",IF(AND(OR(G101="",N(G101)&gt;=$A101+16/24,N(H101)&lt;=$A101+6/24),OR(I101="",N(I101)&lt;=$A101+6/24)),1,0)))</f>
        <v/>
      </c>
      <c r="N101" s="26" t="str">
        <f aca="false">IF($A101="","",IF(INDEX(Muster!$C$7:$BF$7,1,MOD($A101-Einstellungen!$C$6,Einstellungen!$C$7)+1)="","-",INDEX(Muster!$C$7:$BF$7,1,MOD($A101-Einstellungen!$C$6,Einstellungen!$C$7)+1)))</f>
        <v>S</v>
      </c>
      <c r="O101" s="27" t="n">
        <f aca="false">IF($A101="","",IFERROR(VLOOKUP(N101,Schichten!$A$5:$G$24,6,FALSE()),0))</f>
        <v>8</v>
      </c>
      <c r="P101" s="27" t="n">
        <f aca="false">IF($A101="","",IFERROR(VLOOKUP(N101,Schichten!$A$5:$G$24,7,FALSE()),0))</f>
        <v>0</v>
      </c>
      <c r="Q101" s="28" t="n">
        <f aca="false">IF($A101="","",IF(N(O101)=0,"",$A101+VLOOKUP(N101,Schichten!$A$5:$G$24,3,FALSE())))</f>
        <v>46484.5833333333</v>
      </c>
      <c r="R101" s="28" t="n">
        <f aca="false">IF(Q101="","",$A101+VLOOKUP(N101,Schichten!$A$5:$G$24,4,FALSE())+IF(VLOOKUP(N101,Schichten!$A$5:$G$24,4,FALSE())&lt;=VLOOKUP(N101,Schichten!$A$5:$G$24,3,FALSE()),1,0))</f>
        <v>46484.9166666667</v>
      </c>
      <c r="S101" s="28" t="n">
        <f aca="false">IF($A101="","",IF(N(O100)&gt;0,R100,S100))</f>
        <v>46483.9166666667</v>
      </c>
      <c r="T101" s="27" t="n">
        <f aca="false">IF(OR(Q101="",S101=""),"",(Q101-S101)*24)</f>
        <v>16</v>
      </c>
      <c r="U101" s="21" t="n">
        <f aca="false">IF($A101="","",IF(N(O101)&gt;0,N(U100)+1,0))</f>
        <v>4</v>
      </c>
      <c r="V101" s="21" t="n">
        <f aca="false">IF($A101="","",IF(N(P101)&gt;0,N(V100)+1,0))</f>
        <v>0</v>
      </c>
      <c r="W101" s="21" t="str">
        <f aca="false">IF($A101="","",IF(WEEKDAY($A101,2)&lt;&gt;7,"",IF(AND(OR(Q101="",N(Q101)&gt;=$A101+16/24,N(R101)&lt;=$A101+6/24),OR(S101="",N(S101)&lt;=$A101+6/24)),1,0)))</f>
        <v/>
      </c>
      <c r="X101" s="26" t="str">
        <f aca="false">IF($A101="","",IF(INDEX(Muster!$C$8:$BF$8,1,MOD($A101-Einstellungen!$C$6,Einstellungen!$C$7)+1)="","-",INDEX(Muster!$C$8:$BF$8,1,MOD($A101-Einstellungen!$C$6,Einstellungen!$C$7)+1)))</f>
        <v>F</v>
      </c>
      <c r="Y101" s="27" t="n">
        <f aca="false">IF($A101="","",IFERROR(VLOOKUP(X101,Schichten!$A$5:$G$24,6,FALSE()),0))</f>
        <v>8</v>
      </c>
      <c r="Z101" s="27" t="n">
        <f aca="false">IF($A101="","",IFERROR(VLOOKUP(X101,Schichten!$A$5:$G$24,7,FALSE()),0))</f>
        <v>0</v>
      </c>
      <c r="AA101" s="28" t="n">
        <f aca="false">IF($A101="","",IF(N(Y101)=0,"",$A101+VLOOKUP(X101,Schichten!$A$5:$G$24,3,FALSE())))</f>
        <v>46484.25</v>
      </c>
      <c r="AB101" s="28" t="n">
        <f aca="false">IF(AA101="","",$A101+VLOOKUP(X101,Schichten!$A$5:$G$24,4,FALSE())+IF(VLOOKUP(X101,Schichten!$A$5:$G$24,4,FALSE())&lt;=VLOOKUP(X101,Schichten!$A$5:$G$24,3,FALSE()),1,0))</f>
        <v>46484.5833333333</v>
      </c>
      <c r="AC101" s="28" t="n">
        <f aca="false">IF($A101="","",IF(N(Y100)&gt;0,AB100,AC100))</f>
        <v>46483.5833333333</v>
      </c>
      <c r="AD101" s="27" t="n">
        <f aca="false">IF(OR(AA101="",AC101=""),"",(AA101-AC101)*24)</f>
        <v>16</v>
      </c>
      <c r="AE101" s="21" t="n">
        <f aca="false">IF($A101="","",IF(N(Y101)&gt;0,N(AE100)+1,0))</f>
        <v>2</v>
      </c>
      <c r="AF101" s="21" t="n">
        <f aca="false">IF($A101="","",IF(N(Z101)&gt;0,N(AF100)+1,0))</f>
        <v>0</v>
      </c>
      <c r="AG101" s="21" t="str">
        <f aca="false">IF($A101="","",IF(WEEKDAY($A101,2)&lt;&gt;7,"",IF(AND(OR(AA101="",N(AA101)&gt;=$A101+16/24,N(AB101)&lt;=$A101+6/24),OR(AC101="",N(AC101)&lt;=$A101+6/24)),1,0)))</f>
        <v/>
      </c>
      <c r="AH101" s="26" t="str">
        <f aca="false">IF($A101="","",IF(INDEX(Muster!$C$9:$BF$9,1,MOD($A101-Einstellungen!$C$6,Einstellungen!$C$7)+1)="","-",INDEX(Muster!$C$9:$BF$9,1,MOD($A101-Einstellungen!$C$6,Einstellungen!$C$7)+1)))</f>
        <v>-</v>
      </c>
      <c r="AI101" s="27" t="n">
        <f aca="false">IF($A101="","",IFERROR(VLOOKUP(AH101,Schichten!$A$5:$G$24,6,FALSE()),0))</f>
        <v>0</v>
      </c>
      <c r="AJ101" s="27" t="n">
        <f aca="false">IF($A101="","",IFERROR(VLOOKUP(AH101,Schichten!$A$5:$G$24,7,FALSE()),0))</f>
        <v>0</v>
      </c>
      <c r="AK101" s="28" t="str">
        <f aca="false">IF($A101="","",IF(N(AI101)=0,"",$A101+VLOOKUP(AH101,Schichten!$A$5:$G$24,3,FALSE())))</f>
        <v/>
      </c>
      <c r="AL101" s="28" t="str">
        <f aca="false">IF(AK101="","",$A101+VLOOKUP(AH101,Schichten!$A$5:$G$24,4,FALSE())+IF(VLOOKUP(AH101,Schichten!$A$5:$G$24,4,FALSE())&lt;=VLOOKUP(AH101,Schichten!$A$5:$G$24,3,FALSE()),1,0))</f>
        <v/>
      </c>
      <c r="AM101" s="28" t="n">
        <f aca="false">IF($A101="","",IF(N(AI100)&gt;0,AL100,AM100))</f>
        <v>46483.25</v>
      </c>
      <c r="AN101" s="27" t="str">
        <f aca="false">IF(OR(AK101="",AM101=""),"",(AK101-AM101)*24)</f>
        <v/>
      </c>
      <c r="AO101" s="21" t="n">
        <f aca="false">IF($A101="","",IF(N(AI101)&gt;0,N(AO100)+1,0))</f>
        <v>0</v>
      </c>
      <c r="AP101" s="21" t="n">
        <f aca="false">IF($A101="","",IF(N(AJ101)&gt;0,N(AP100)+1,0))</f>
        <v>0</v>
      </c>
      <c r="AQ101" s="21" t="str">
        <f aca="false">IF($A101="","",IF(WEEKDAY($A101,2)&lt;&gt;7,"",IF(AND(OR(AK101="",N(AK101)&gt;=$A101+16/24,N(AL101)&lt;=$A101+6/24),OR(AM101="",N(AM101)&lt;=$A101+6/24)),1,0)))</f>
        <v/>
      </c>
      <c r="AR101" s="26" t="str">
        <f aca="false">IF($A101="","",IF(INDEX(Muster!$C$10:$BF$10,1,MOD($A101-Einstellungen!$C$6,Einstellungen!$C$7)+1)="","-",INDEX(Muster!$C$10:$BF$10,1,MOD($A101-Einstellungen!$C$6,Einstellungen!$C$7)+1)))</f>
        <v>-</v>
      </c>
      <c r="AS101" s="27" t="n">
        <f aca="false">IF($A101="","",IFERROR(VLOOKUP(AR101,Schichten!$A$5:$G$24,6,FALSE()),0))</f>
        <v>0</v>
      </c>
      <c r="AT101" s="27" t="n">
        <f aca="false">IF($A101="","",IFERROR(VLOOKUP(AR101,Schichten!$A$5:$G$24,7,FALSE()),0))</f>
        <v>0</v>
      </c>
      <c r="AU101" s="28" t="str">
        <f aca="false">IF($A101="","",IF(N(AS101)=0,"",$A101+VLOOKUP(AR101,Schichten!$A$5:$G$24,3,FALSE())))</f>
        <v/>
      </c>
      <c r="AV101" s="28" t="str">
        <f aca="false">IF(AU101="","",$A101+VLOOKUP(AR101,Schichten!$A$5:$G$24,4,FALSE())+IF(VLOOKUP(AR101,Schichten!$A$5:$G$24,4,FALSE())&lt;=VLOOKUP(AR101,Schichten!$A$5:$G$24,3,FALSE()),1,0))</f>
        <v/>
      </c>
      <c r="AW101" s="28" t="str">
        <f aca="false">IF($A101="","",IF(N(AS100)&gt;0,AV100,AW100))</f>
        <v/>
      </c>
      <c r="AX101" s="27" t="str">
        <f aca="false">IF(OR(AU101="",AW101=""),"",(AU101-AW101)*24)</f>
        <v/>
      </c>
      <c r="AY101" s="21" t="n">
        <f aca="false">IF($A101="","",IF(N(AS101)&gt;0,N(AY100)+1,0))</f>
        <v>0</v>
      </c>
      <c r="AZ101" s="21" t="n">
        <f aca="false">IF($A101="","",IF(N(AT101)&gt;0,N(AZ100)+1,0))</f>
        <v>0</v>
      </c>
      <c r="BA101" s="21" t="str">
        <f aca="false">IF($A101="","",IF(WEEKDAY($A101,2)&lt;&gt;7,"",IF(AND(OR(AU101="",N(AU101)&gt;=$A101+16/24,N(AV101)&lt;=$A101+6/24),OR(AW101="",N(AW101)&lt;=$A101+6/24)),1,0)))</f>
        <v/>
      </c>
    </row>
    <row r="102" customFormat="false" ht="15" hidden="false" customHeight="false" outlineLevel="0" collapsed="false">
      <c r="A102" s="25" t="n">
        <f aca="false">IF(YEAR(DATE(Einstellungen!$C$4,1,1)+97)=Einstellungen!$C$4,DATE(Einstellungen!$C$4,1,1)+97,"")</f>
        <v>46485</v>
      </c>
      <c r="B102" s="26" t="str">
        <f aca="false">IF($A102="","",CHOOSE(WEEKDAY($A102,2),"Mo","Di","Mi","Do","Fr","Sa","So"))</f>
        <v>Do</v>
      </c>
      <c r="C102" s="26" t="n">
        <f aca="false">IF($A102="","",MONTH($A102))</f>
        <v>4</v>
      </c>
      <c r="D102" s="26" t="str">
        <f aca="false">IF($A102="","",IF(INDEX(Muster!$C$6:$BF$6,1,MOD($A102-Einstellungen!$C$6,Einstellungen!$C$7)+1)="","-",INDEX(Muster!$C$6:$BF$6,1,MOD($A102-Einstellungen!$C$6,Einstellungen!$C$7)+1)))</f>
        <v>-</v>
      </c>
      <c r="E102" s="27" t="n">
        <f aca="false">IF($A102="","",IFERROR(VLOOKUP(D102,Schichten!$A$5:$G$24,6,FALSE()),0))</f>
        <v>0</v>
      </c>
      <c r="F102" s="27" t="n">
        <f aca="false">IF($A102="","",IFERROR(VLOOKUP(D102,Schichten!$A$5:$G$24,7,FALSE()),0))</f>
        <v>0</v>
      </c>
      <c r="G102" s="28" t="str">
        <f aca="false">IF($A102="","",IF(N(E102)=0,"",$A102+VLOOKUP(D102,Schichten!$A$5:$G$24,3,FALSE())))</f>
        <v/>
      </c>
      <c r="H102" s="28" t="str">
        <f aca="false">IF(G102="","",$A102+VLOOKUP(D102,Schichten!$A$5:$G$24,4,FALSE())+IF(VLOOKUP(D102,Schichten!$A$5:$G$24,4,FALSE())&lt;=VLOOKUP(D102,Schichten!$A$5:$G$24,3,FALSE()),1,0))</f>
        <v/>
      </c>
      <c r="I102" s="28" t="n">
        <f aca="false">IF($A102="","",IF(N(E101)&gt;0,H101,I101))</f>
        <v>46485.25</v>
      </c>
      <c r="J102" s="27" t="str">
        <f aca="false">IF(OR(G102="",I102=""),"",(G102-I102)*24)</f>
        <v/>
      </c>
      <c r="K102" s="21" t="n">
        <f aca="false">IF($A102="","",IF(N(E102)&gt;0,N(K101)+1,0))</f>
        <v>0</v>
      </c>
      <c r="L102" s="21" t="n">
        <f aca="false">IF($A102="","",IF(N(F102)&gt;0,N(L101)+1,0))</f>
        <v>0</v>
      </c>
      <c r="M102" s="21" t="str">
        <f aca="false">IF($A102="","",IF(WEEKDAY($A102,2)&lt;&gt;7,"",IF(AND(OR(G102="",N(G102)&gt;=$A102+16/24,N(H102)&lt;=$A102+6/24),OR(I102="",N(I102)&lt;=$A102+6/24)),1,0)))</f>
        <v/>
      </c>
      <c r="N102" s="26" t="str">
        <f aca="false">IF($A102="","",IF(INDEX(Muster!$C$7:$BF$7,1,MOD($A102-Einstellungen!$C$6,Einstellungen!$C$7)+1)="","-",INDEX(Muster!$C$7:$BF$7,1,MOD($A102-Einstellungen!$C$6,Einstellungen!$C$7)+1)))</f>
        <v>N</v>
      </c>
      <c r="O102" s="27" t="n">
        <f aca="false">IF($A102="","",IFERROR(VLOOKUP(N102,Schichten!$A$5:$G$24,6,FALSE()),0))</f>
        <v>8</v>
      </c>
      <c r="P102" s="27" t="n">
        <f aca="false">IF($A102="","",IFERROR(VLOOKUP(N102,Schichten!$A$5:$G$24,7,FALSE()),0))</f>
        <v>7</v>
      </c>
      <c r="Q102" s="28" t="n">
        <f aca="false">IF($A102="","",IF(N(O102)=0,"",$A102+VLOOKUP(N102,Schichten!$A$5:$G$24,3,FALSE())))</f>
        <v>46485.9166666667</v>
      </c>
      <c r="R102" s="28" t="n">
        <f aca="false">IF(Q102="","",$A102+VLOOKUP(N102,Schichten!$A$5:$G$24,4,FALSE())+IF(VLOOKUP(N102,Schichten!$A$5:$G$24,4,FALSE())&lt;=VLOOKUP(N102,Schichten!$A$5:$G$24,3,FALSE()),1,0))</f>
        <v>46486.25</v>
      </c>
      <c r="S102" s="28" t="n">
        <f aca="false">IF($A102="","",IF(N(O101)&gt;0,R101,S101))</f>
        <v>46484.9166666667</v>
      </c>
      <c r="T102" s="27" t="n">
        <f aca="false">IF(OR(Q102="",S102=""),"",(Q102-S102)*24)</f>
        <v>24</v>
      </c>
      <c r="U102" s="21" t="n">
        <f aca="false">IF($A102="","",IF(N(O102)&gt;0,N(U101)+1,0))</f>
        <v>5</v>
      </c>
      <c r="V102" s="21" t="n">
        <f aca="false">IF($A102="","",IF(N(P102)&gt;0,N(V101)+1,0))</f>
        <v>1</v>
      </c>
      <c r="W102" s="21" t="str">
        <f aca="false">IF($A102="","",IF(WEEKDAY($A102,2)&lt;&gt;7,"",IF(AND(OR(Q102="",N(Q102)&gt;=$A102+16/24,N(R102)&lt;=$A102+6/24),OR(S102="",N(S102)&lt;=$A102+6/24)),1,0)))</f>
        <v/>
      </c>
      <c r="X102" s="26" t="str">
        <f aca="false">IF($A102="","",IF(INDEX(Muster!$C$8:$BF$8,1,MOD($A102-Einstellungen!$C$6,Einstellungen!$C$7)+1)="","-",INDEX(Muster!$C$8:$BF$8,1,MOD($A102-Einstellungen!$C$6,Einstellungen!$C$7)+1)))</f>
        <v>S</v>
      </c>
      <c r="Y102" s="27" t="n">
        <f aca="false">IF($A102="","",IFERROR(VLOOKUP(X102,Schichten!$A$5:$G$24,6,FALSE()),0))</f>
        <v>8</v>
      </c>
      <c r="Z102" s="27" t="n">
        <f aca="false">IF($A102="","",IFERROR(VLOOKUP(X102,Schichten!$A$5:$G$24,7,FALSE()),0))</f>
        <v>0</v>
      </c>
      <c r="AA102" s="28" t="n">
        <f aca="false">IF($A102="","",IF(N(Y102)=0,"",$A102+VLOOKUP(X102,Schichten!$A$5:$G$24,3,FALSE())))</f>
        <v>46485.5833333333</v>
      </c>
      <c r="AB102" s="28" t="n">
        <f aca="false">IF(AA102="","",$A102+VLOOKUP(X102,Schichten!$A$5:$G$24,4,FALSE())+IF(VLOOKUP(X102,Schichten!$A$5:$G$24,4,FALSE())&lt;=VLOOKUP(X102,Schichten!$A$5:$G$24,3,FALSE()),1,0))</f>
        <v>46485.9166666667</v>
      </c>
      <c r="AC102" s="28" t="n">
        <f aca="false">IF($A102="","",IF(N(Y101)&gt;0,AB101,AC101))</f>
        <v>46484.5833333333</v>
      </c>
      <c r="AD102" s="27" t="n">
        <f aca="false">IF(OR(AA102="",AC102=""),"",(AA102-AC102)*24)</f>
        <v>24</v>
      </c>
      <c r="AE102" s="21" t="n">
        <f aca="false">IF($A102="","",IF(N(Y102)&gt;0,N(AE101)+1,0))</f>
        <v>3</v>
      </c>
      <c r="AF102" s="21" t="n">
        <f aca="false">IF($A102="","",IF(N(Z102)&gt;0,N(AF101)+1,0))</f>
        <v>0</v>
      </c>
      <c r="AG102" s="21" t="str">
        <f aca="false">IF($A102="","",IF(WEEKDAY($A102,2)&lt;&gt;7,"",IF(AND(OR(AA102="",N(AA102)&gt;=$A102+16/24,N(AB102)&lt;=$A102+6/24),OR(AC102="",N(AC102)&lt;=$A102+6/24)),1,0)))</f>
        <v/>
      </c>
      <c r="AH102" s="26" t="str">
        <f aca="false">IF($A102="","",IF(INDEX(Muster!$C$9:$BF$9,1,MOD($A102-Einstellungen!$C$6,Einstellungen!$C$7)+1)="","-",INDEX(Muster!$C$9:$BF$9,1,MOD($A102-Einstellungen!$C$6,Einstellungen!$C$7)+1)))</f>
        <v>F</v>
      </c>
      <c r="AI102" s="27" t="n">
        <f aca="false">IF($A102="","",IFERROR(VLOOKUP(AH102,Schichten!$A$5:$G$24,6,FALSE()),0))</f>
        <v>8</v>
      </c>
      <c r="AJ102" s="27" t="n">
        <f aca="false">IF($A102="","",IFERROR(VLOOKUP(AH102,Schichten!$A$5:$G$24,7,FALSE()),0))</f>
        <v>0</v>
      </c>
      <c r="AK102" s="28" t="n">
        <f aca="false">IF($A102="","",IF(N(AI102)=0,"",$A102+VLOOKUP(AH102,Schichten!$A$5:$G$24,3,FALSE())))</f>
        <v>46485.25</v>
      </c>
      <c r="AL102" s="28" t="n">
        <f aca="false">IF(AK102="","",$A102+VLOOKUP(AH102,Schichten!$A$5:$G$24,4,FALSE())+IF(VLOOKUP(AH102,Schichten!$A$5:$G$24,4,FALSE())&lt;=VLOOKUP(AH102,Schichten!$A$5:$G$24,3,FALSE()),1,0))</f>
        <v>46485.5833333333</v>
      </c>
      <c r="AM102" s="28" t="n">
        <f aca="false">IF($A102="","",IF(N(AI101)&gt;0,AL101,AM101))</f>
        <v>46483.25</v>
      </c>
      <c r="AN102" s="27" t="n">
        <f aca="false">IF(OR(AK102="",AM102=""),"",(AK102-AM102)*24)</f>
        <v>48</v>
      </c>
      <c r="AO102" s="21" t="n">
        <f aca="false">IF($A102="","",IF(N(AI102)&gt;0,N(AO101)+1,0))</f>
        <v>1</v>
      </c>
      <c r="AP102" s="21" t="n">
        <f aca="false">IF($A102="","",IF(N(AJ102)&gt;0,N(AP101)+1,0))</f>
        <v>0</v>
      </c>
      <c r="AQ102" s="21" t="str">
        <f aca="false">IF($A102="","",IF(WEEKDAY($A102,2)&lt;&gt;7,"",IF(AND(OR(AK102="",N(AK102)&gt;=$A102+16/24,N(AL102)&lt;=$A102+6/24),OR(AM102="",N(AM102)&lt;=$A102+6/24)),1,0)))</f>
        <v/>
      </c>
      <c r="AR102" s="26" t="str">
        <f aca="false">IF($A102="","",IF(INDEX(Muster!$C$10:$BF$10,1,MOD($A102-Einstellungen!$C$6,Einstellungen!$C$7)+1)="","-",INDEX(Muster!$C$10:$BF$10,1,MOD($A102-Einstellungen!$C$6,Einstellungen!$C$7)+1)))</f>
        <v>-</v>
      </c>
      <c r="AS102" s="27" t="n">
        <f aca="false">IF($A102="","",IFERROR(VLOOKUP(AR102,Schichten!$A$5:$G$24,6,FALSE()),0))</f>
        <v>0</v>
      </c>
      <c r="AT102" s="27" t="n">
        <f aca="false">IF($A102="","",IFERROR(VLOOKUP(AR102,Schichten!$A$5:$G$24,7,FALSE()),0))</f>
        <v>0</v>
      </c>
      <c r="AU102" s="28" t="str">
        <f aca="false">IF($A102="","",IF(N(AS102)=0,"",$A102+VLOOKUP(AR102,Schichten!$A$5:$G$24,3,FALSE())))</f>
        <v/>
      </c>
      <c r="AV102" s="28" t="str">
        <f aca="false">IF(AU102="","",$A102+VLOOKUP(AR102,Schichten!$A$5:$G$24,4,FALSE())+IF(VLOOKUP(AR102,Schichten!$A$5:$G$24,4,FALSE())&lt;=VLOOKUP(AR102,Schichten!$A$5:$G$24,3,FALSE()),1,0))</f>
        <v/>
      </c>
      <c r="AW102" s="28" t="str">
        <f aca="false">IF($A102="","",IF(N(AS101)&gt;0,AV101,AW101))</f>
        <v/>
      </c>
      <c r="AX102" s="27" t="str">
        <f aca="false">IF(OR(AU102="",AW102=""),"",(AU102-AW102)*24)</f>
        <v/>
      </c>
      <c r="AY102" s="21" t="n">
        <f aca="false">IF($A102="","",IF(N(AS102)&gt;0,N(AY101)+1,0))</f>
        <v>0</v>
      </c>
      <c r="AZ102" s="21" t="n">
        <f aca="false">IF($A102="","",IF(N(AT102)&gt;0,N(AZ101)+1,0))</f>
        <v>0</v>
      </c>
      <c r="BA102" s="21" t="str">
        <f aca="false">IF($A102="","",IF(WEEKDAY($A102,2)&lt;&gt;7,"",IF(AND(OR(AU102="",N(AU102)&gt;=$A102+16/24,N(AV102)&lt;=$A102+6/24),OR(AW102="",N(AW102)&lt;=$A102+6/24)),1,0)))</f>
        <v/>
      </c>
    </row>
    <row r="103" customFormat="false" ht="15" hidden="false" customHeight="false" outlineLevel="0" collapsed="false">
      <c r="A103" s="25" t="n">
        <f aca="false">IF(YEAR(DATE(Einstellungen!$C$4,1,1)+98)=Einstellungen!$C$4,DATE(Einstellungen!$C$4,1,1)+98,"")</f>
        <v>46486</v>
      </c>
      <c r="B103" s="26" t="str">
        <f aca="false">IF($A103="","",CHOOSE(WEEKDAY($A103,2),"Mo","Di","Mi","Do","Fr","Sa","So"))</f>
        <v>Fr</v>
      </c>
      <c r="C103" s="26" t="n">
        <f aca="false">IF($A103="","",MONTH($A103))</f>
        <v>4</v>
      </c>
      <c r="D103" s="26" t="str">
        <f aca="false">IF($A103="","",IF(INDEX(Muster!$C$6:$BF$6,1,MOD($A103-Einstellungen!$C$6,Einstellungen!$C$7)+1)="","-",INDEX(Muster!$C$6:$BF$6,1,MOD($A103-Einstellungen!$C$6,Einstellungen!$C$7)+1)))</f>
        <v>-</v>
      </c>
      <c r="E103" s="27" t="n">
        <f aca="false">IF($A103="","",IFERROR(VLOOKUP(D103,Schichten!$A$5:$G$24,6,FALSE()),0))</f>
        <v>0</v>
      </c>
      <c r="F103" s="27" t="n">
        <f aca="false">IF($A103="","",IFERROR(VLOOKUP(D103,Schichten!$A$5:$G$24,7,FALSE()),0))</f>
        <v>0</v>
      </c>
      <c r="G103" s="28" t="str">
        <f aca="false">IF($A103="","",IF(N(E103)=0,"",$A103+VLOOKUP(D103,Schichten!$A$5:$G$24,3,FALSE())))</f>
        <v/>
      </c>
      <c r="H103" s="28" t="str">
        <f aca="false">IF(G103="","",$A103+VLOOKUP(D103,Schichten!$A$5:$G$24,4,FALSE())+IF(VLOOKUP(D103,Schichten!$A$5:$G$24,4,FALSE())&lt;=VLOOKUP(D103,Schichten!$A$5:$G$24,3,FALSE()),1,0))</f>
        <v/>
      </c>
      <c r="I103" s="28" t="n">
        <f aca="false">IF($A103="","",IF(N(E102)&gt;0,H102,I102))</f>
        <v>46485.25</v>
      </c>
      <c r="J103" s="27" t="str">
        <f aca="false">IF(OR(G103="",I103=""),"",(G103-I103)*24)</f>
        <v/>
      </c>
      <c r="K103" s="21" t="n">
        <f aca="false">IF($A103="","",IF(N(E103)&gt;0,N(K102)+1,0))</f>
        <v>0</v>
      </c>
      <c r="L103" s="21" t="n">
        <f aca="false">IF($A103="","",IF(N(F103)&gt;0,N(L102)+1,0))</f>
        <v>0</v>
      </c>
      <c r="M103" s="21" t="str">
        <f aca="false">IF($A103="","",IF(WEEKDAY($A103,2)&lt;&gt;7,"",IF(AND(OR(G103="",N(G103)&gt;=$A103+16/24,N(H103)&lt;=$A103+6/24),OR(I103="",N(I103)&lt;=$A103+6/24)),1,0)))</f>
        <v/>
      </c>
      <c r="N103" s="26" t="str">
        <f aca="false">IF($A103="","",IF(INDEX(Muster!$C$7:$BF$7,1,MOD($A103-Einstellungen!$C$6,Einstellungen!$C$7)+1)="","-",INDEX(Muster!$C$7:$BF$7,1,MOD($A103-Einstellungen!$C$6,Einstellungen!$C$7)+1)))</f>
        <v>N</v>
      </c>
      <c r="O103" s="27" t="n">
        <f aca="false">IF($A103="","",IFERROR(VLOOKUP(N103,Schichten!$A$5:$G$24,6,FALSE()),0))</f>
        <v>8</v>
      </c>
      <c r="P103" s="27" t="n">
        <f aca="false">IF($A103="","",IFERROR(VLOOKUP(N103,Schichten!$A$5:$G$24,7,FALSE()),0))</f>
        <v>7</v>
      </c>
      <c r="Q103" s="28" t="n">
        <f aca="false">IF($A103="","",IF(N(O103)=0,"",$A103+VLOOKUP(N103,Schichten!$A$5:$G$24,3,FALSE())))</f>
        <v>46486.9166666667</v>
      </c>
      <c r="R103" s="28" t="n">
        <f aca="false">IF(Q103="","",$A103+VLOOKUP(N103,Schichten!$A$5:$G$24,4,FALSE())+IF(VLOOKUP(N103,Schichten!$A$5:$G$24,4,FALSE())&lt;=VLOOKUP(N103,Schichten!$A$5:$G$24,3,FALSE()),1,0))</f>
        <v>46487.25</v>
      </c>
      <c r="S103" s="28" t="n">
        <f aca="false">IF($A103="","",IF(N(O102)&gt;0,R102,S102))</f>
        <v>46486.25</v>
      </c>
      <c r="T103" s="27" t="n">
        <f aca="false">IF(OR(Q103="",S103=""),"",(Q103-S103)*24)</f>
        <v>16</v>
      </c>
      <c r="U103" s="21" t="n">
        <f aca="false">IF($A103="","",IF(N(O103)&gt;0,N(U102)+1,0))</f>
        <v>6</v>
      </c>
      <c r="V103" s="21" t="n">
        <f aca="false">IF($A103="","",IF(N(P103)&gt;0,N(V102)+1,0))</f>
        <v>2</v>
      </c>
      <c r="W103" s="21" t="str">
        <f aca="false">IF($A103="","",IF(WEEKDAY($A103,2)&lt;&gt;7,"",IF(AND(OR(Q103="",N(Q103)&gt;=$A103+16/24,N(R103)&lt;=$A103+6/24),OR(S103="",N(S103)&lt;=$A103+6/24)),1,0)))</f>
        <v/>
      </c>
      <c r="X103" s="26" t="str">
        <f aca="false">IF($A103="","",IF(INDEX(Muster!$C$8:$BF$8,1,MOD($A103-Einstellungen!$C$6,Einstellungen!$C$7)+1)="","-",INDEX(Muster!$C$8:$BF$8,1,MOD($A103-Einstellungen!$C$6,Einstellungen!$C$7)+1)))</f>
        <v>S</v>
      </c>
      <c r="Y103" s="27" t="n">
        <f aca="false">IF($A103="","",IFERROR(VLOOKUP(X103,Schichten!$A$5:$G$24,6,FALSE()),0))</f>
        <v>8</v>
      </c>
      <c r="Z103" s="27" t="n">
        <f aca="false">IF($A103="","",IFERROR(VLOOKUP(X103,Schichten!$A$5:$G$24,7,FALSE()),0))</f>
        <v>0</v>
      </c>
      <c r="AA103" s="28" t="n">
        <f aca="false">IF($A103="","",IF(N(Y103)=0,"",$A103+VLOOKUP(X103,Schichten!$A$5:$G$24,3,FALSE())))</f>
        <v>46486.5833333333</v>
      </c>
      <c r="AB103" s="28" t="n">
        <f aca="false">IF(AA103="","",$A103+VLOOKUP(X103,Schichten!$A$5:$G$24,4,FALSE())+IF(VLOOKUP(X103,Schichten!$A$5:$G$24,4,FALSE())&lt;=VLOOKUP(X103,Schichten!$A$5:$G$24,3,FALSE()),1,0))</f>
        <v>46486.9166666667</v>
      </c>
      <c r="AC103" s="28" t="n">
        <f aca="false">IF($A103="","",IF(N(Y102)&gt;0,AB102,AC102))</f>
        <v>46485.9166666667</v>
      </c>
      <c r="AD103" s="27" t="n">
        <f aca="false">IF(OR(AA103="",AC103=""),"",(AA103-AC103)*24)</f>
        <v>16</v>
      </c>
      <c r="AE103" s="21" t="n">
        <f aca="false">IF($A103="","",IF(N(Y103)&gt;0,N(AE102)+1,0))</f>
        <v>4</v>
      </c>
      <c r="AF103" s="21" t="n">
        <f aca="false">IF($A103="","",IF(N(Z103)&gt;0,N(AF102)+1,0))</f>
        <v>0</v>
      </c>
      <c r="AG103" s="21" t="str">
        <f aca="false">IF($A103="","",IF(WEEKDAY($A103,2)&lt;&gt;7,"",IF(AND(OR(AA103="",N(AA103)&gt;=$A103+16/24,N(AB103)&lt;=$A103+6/24),OR(AC103="",N(AC103)&lt;=$A103+6/24)),1,0)))</f>
        <v/>
      </c>
      <c r="AH103" s="26" t="str">
        <f aca="false">IF($A103="","",IF(INDEX(Muster!$C$9:$BF$9,1,MOD($A103-Einstellungen!$C$6,Einstellungen!$C$7)+1)="","-",INDEX(Muster!$C$9:$BF$9,1,MOD($A103-Einstellungen!$C$6,Einstellungen!$C$7)+1)))</f>
        <v>F</v>
      </c>
      <c r="AI103" s="27" t="n">
        <f aca="false">IF($A103="","",IFERROR(VLOOKUP(AH103,Schichten!$A$5:$G$24,6,FALSE()),0))</f>
        <v>8</v>
      </c>
      <c r="AJ103" s="27" t="n">
        <f aca="false">IF($A103="","",IFERROR(VLOOKUP(AH103,Schichten!$A$5:$G$24,7,FALSE()),0))</f>
        <v>0</v>
      </c>
      <c r="AK103" s="28" t="n">
        <f aca="false">IF($A103="","",IF(N(AI103)=0,"",$A103+VLOOKUP(AH103,Schichten!$A$5:$G$24,3,FALSE())))</f>
        <v>46486.25</v>
      </c>
      <c r="AL103" s="28" t="n">
        <f aca="false">IF(AK103="","",$A103+VLOOKUP(AH103,Schichten!$A$5:$G$24,4,FALSE())+IF(VLOOKUP(AH103,Schichten!$A$5:$G$24,4,FALSE())&lt;=VLOOKUP(AH103,Schichten!$A$5:$G$24,3,FALSE()),1,0))</f>
        <v>46486.5833333333</v>
      </c>
      <c r="AM103" s="28" t="n">
        <f aca="false">IF($A103="","",IF(N(AI102)&gt;0,AL102,AM102))</f>
        <v>46485.5833333333</v>
      </c>
      <c r="AN103" s="27" t="n">
        <f aca="false">IF(OR(AK103="",AM103=""),"",(AK103-AM103)*24)</f>
        <v>16</v>
      </c>
      <c r="AO103" s="21" t="n">
        <f aca="false">IF($A103="","",IF(N(AI103)&gt;0,N(AO102)+1,0))</f>
        <v>2</v>
      </c>
      <c r="AP103" s="21" t="n">
        <f aca="false">IF($A103="","",IF(N(AJ103)&gt;0,N(AP102)+1,0))</f>
        <v>0</v>
      </c>
      <c r="AQ103" s="21" t="str">
        <f aca="false">IF($A103="","",IF(WEEKDAY($A103,2)&lt;&gt;7,"",IF(AND(OR(AK103="",N(AK103)&gt;=$A103+16/24,N(AL103)&lt;=$A103+6/24),OR(AM103="",N(AM103)&lt;=$A103+6/24)),1,0)))</f>
        <v/>
      </c>
      <c r="AR103" s="26" t="str">
        <f aca="false">IF($A103="","",IF(INDEX(Muster!$C$10:$BF$10,1,MOD($A103-Einstellungen!$C$6,Einstellungen!$C$7)+1)="","-",INDEX(Muster!$C$10:$BF$10,1,MOD($A103-Einstellungen!$C$6,Einstellungen!$C$7)+1)))</f>
        <v>-</v>
      </c>
      <c r="AS103" s="27" t="n">
        <f aca="false">IF($A103="","",IFERROR(VLOOKUP(AR103,Schichten!$A$5:$G$24,6,FALSE()),0))</f>
        <v>0</v>
      </c>
      <c r="AT103" s="27" t="n">
        <f aca="false">IF($A103="","",IFERROR(VLOOKUP(AR103,Schichten!$A$5:$G$24,7,FALSE()),0))</f>
        <v>0</v>
      </c>
      <c r="AU103" s="28" t="str">
        <f aca="false">IF($A103="","",IF(N(AS103)=0,"",$A103+VLOOKUP(AR103,Schichten!$A$5:$G$24,3,FALSE())))</f>
        <v/>
      </c>
      <c r="AV103" s="28" t="str">
        <f aca="false">IF(AU103="","",$A103+VLOOKUP(AR103,Schichten!$A$5:$G$24,4,FALSE())+IF(VLOOKUP(AR103,Schichten!$A$5:$G$24,4,FALSE())&lt;=VLOOKUP(AR103,Schichten!$A$5:$G$24,3,FALSE()),1,0))</f>
        <v/>
      </c>
      <c r="AW103" s="28" t="str">
        <f aca="false">IF($A103="","",IF(N(AS102)&gt;0,AV102,AW102))</f>
        <v/>
      </c>
      <c r="AX103" s="27" t="str">
        <f aca="false">IF(OR(AU103="",AW103=""),"",(AU103-AW103)*24)</f>
        <v/>
      </c>
      <c r="AY103" s="21" t="n">
        <f aca="false">IF($A103="","",IF(N(AS103)&gt;0,N(AY102)+1,0))</f>
        <v>0</v>
      </c>
      <c r="AZ103" s="21" t="n">
        <f aca="false">IF($A103="","",IF(N(AT103)&gt;0,N(AZ102)+1,0))</f>
        <v>0</v>
      </c>
      <c r="BA103" s="21" t="str">
        <f aca="false">IF($A103="","",IF(WEEKDAY($A103,2)&lt;&gt;7,"",IF(AND(OR(AU103="",N(AU103)&gt;=$A103+16/24,N(AV103)&lt;=$A103+6/24),OR(AW103="",N(AW103)&lt;=$A103+6/24)),1,0)))</f>
        <v/>
      </c>
    </row>
    <row r="104" customFormat="false" ht="15" hidden="false" customHeight="false" outlineLevel="0" collapsed="false">
      <c r="A104" s="25" t="n">
        <f aca="false">IF(YEAR(DATE(Einstellungen!$C$4,1,1)+99)=Einstellungen!$C$4,DATE(Einstellungen!$C$4,1,1)+99,"")</f>
        <v>46487</v>
      </c>
      <c r="B104" s="26" t="str">
        <f aca="false">IF($A104="","",CHOOSE(WEEKDAY($A104,2),"Mo","Di","Mi","Do","Fr","Sa","So"))</f>
        <v>Sa</v>
      </c>
      <c r="C104" s="26" t="n">
        <f aca="false">IF($A104="","",MONTH($A104))</f>
        <v>4</v>
      </c>
      <c r="D104" s="26" t="str">
        <f aca="false">IF($A104="","",IF(INDEX(Muster!$C$6:$BF$6,1,MOD($A104-Einstellungen!$C$6,Einstellungen!$C$7)+1)="","-",INDEX(Muster!$C$6:$BF$6,1,MOD($A104-Einstellungen!$C$6,Einstellungen!$C$7)+1)))</f>
        <v>F</v>
      </c>
      <c r="E104" s="27" t="n">
        <f aca="false">IF($A104="","",IFERROR(VLOOKUP(D104,Schichten!$A$5:$G$24,6,FALSE()),0))</f>
        <v>8</v>
      </c>
      <c r="F104" s="27" t="n">
        <f aca="false">IF($A104="","",IFERROR(VLOOKUP(D104,Schichten!$A$5:$G$24,7,FALSE()),0))</f>
        <v>0</v>
      </c>
      <c r="G104" s="28" t="n">
        <f aca="false">IF($A104="","",IF(N(E104)=0,"",$A104+VLOOKUP(D104,Schichten!$A$5:$G$24,3,FALSE())))</f>
        <v>46487.25</v>
      </c>
      <c r="H104" s="28" t="n">
        <f aca="false">IF(G104="","",$A104+VLOOKUP(D104,Schichten!$A$5:$G$24,4,FALSE())+IF(VLOOKUP(D104,Schichten!$A$5:$G$24,4,FALSE())&lt;=VLOOKUP(D104,Schichten!$A$5:$G$24,3,FALSE()),1,0))</f>
        <v>46487.5833333333</v>
      </c>
      <c r="I104" s="28" t="n">
        <f aca="false">IF($A104="","",IF(N(E103)&gt;0,H103,I103))</f>
        <v>46485.25</v>
      </c>
      <c r="J104" s="27" t="n">
        <f aca="false">IF(OR(G104="",I104=""),"",(G104-I104)*24)</f>
        <v>48</v>
      </c>
      <c r="K104" s="21" t="n">
        <f aca="false">IF($A104="","",IF(N(E104)&gt;0,N(K103)+1,0))</f>
        <v>1</v>
      </c>
      <c r="L104" s="21" t="n">
        <f aca="false">IF($A104="","",IF(N(F104)&gt;0,N(L103)+1,0))</f>
        <v>0</v>
      </c>
      <c r="M104" s="21" t="str">
        <f aca="false">IF($A104="","",IF(WEEKDAY($A104,2)&lt;&gt;7,"",IF(AND(OR(G104="",N(G104)&gt;=$A104+16/24,N(H104)&lt;=$A104+6/24),OR(I104="",N(I104)&lt;=$A104+6/24)),1,0)))</f>
        <v/>
      </c>
      <c r="N104" s="26" t="str">
        <f aca="false">IF($A104="","",IF(INDEX(Muster!$C$7:$BF$7,1,MOD($A104-Einstellungen!$C$6,Einstellungen!$C$7)+1)="","-",INDEX(Muster!$C$7:$BF$7,1,MOD($A104-Einstellungen!$C$6,Einstellungen!$C$7)+1)))</f>
        <v>-</v>
      </c>
      <c r="O104" s="27" t="n">
        <f aca="false">IF($A104="","",IFERROR(VLOOKUP(N104,Schichten!$A$5:$G$24,6,FALSE()),0))</f>
        <v>0</v>
      </c>
      <c r="P104" s="27" t="n">
        <f aca="false">IF($A104="","",IFERROR(VLOOKUP(N104,Schichten!$A$5:$G$24,7,FALSE()),0))</f>
        <v>0</v>
      </c>
      <c r="Q104" s="28" t="str">
        <f aca="false">IF($A104="","",IF(N(O104)=0,"",$A104+VLOOKUP(N104,Schichten!$A$5:$G$24,3,FALSE())))</f>
        <v/>
      </c>
      <c r="R104" s="28" t="str">
        <f aca="false">IF(Q104="","",$A104+VLOOKUP(N104,Schichten!$A$5:$G$24,4,FALSE())+IF(VLOOKUP(N104,Schichten!$A$5:$G$24,4,FALSE())&lt;=VLOOKUP(N104,Schichten!$A$5:$G$24,3,FALSE()),1,0))</f>
        <v/>
      </c>
      <c r="S104" s="28" t="n">
        <f aca="false">IF($A104="","",IF(N(O103)&gt;0,R103,S103))</f>
        <v>46487.25</v>
      </c>
      <c r="T104" s="27" t="str">
        <f aca="false">IF(OR(Q104="",S104=""),"",(Q104-S104)*24)</f>
        <v/>
      </c>
      <c r="U104" s="21" t="n">
        <f aca="false">IF($A104="","",IF(N(O104)&gt;0,N(U103)+1,0))</f>
        <v>0</v>
      </c>
      <c r="V104" s="21" t="n">
        <f aca="false">IF($A104="","",IF(N(P104)&gt;0,N(V103)+1,0))</f>
        <v>0</v>
      </c>
      <c r="W104" s="21" t="str">
        <f aca="false">IF($A104="","",IF(WEEKDAY($A104,2)&lt;&gt;7,"",IF(AND(OR(Q104="",N(Q104)&gt;=$A104+16/24,N(R104)&lt;=$A104+6/24),OR(S104="",N(S104)&lt;=$A104+6/24)),1,0)))</f>
        <v/>
      </c>
      <c r="X104" s="26" t="str">
        <f aca="false">IF($A104="","",IF(INDEX(Muster!$C$8:$BF$8,1,MOD($A104-Einstellungen!$C$6,Einstellungen!$C$7)+1)="","-",INDEX(Muster!$C$8:$BF$8,1,MOD($A104-Einstellungen!$C$6,Einstellungen!$C$7)+1)))</f>
        <v>N</v>
      </c>
      <c r="Y104" s="27" t="n">
        <f aca="false">IF($A104="","",IFERROR(VLOOKUP(X104,Schichten!$A$5:$G$24,6,FALSE()),0))</f>
        <v>8</v>
      </c>
      <c r="Z104" s="27" t="n">
        <f aca="false">IF($A104="","",IFERROR(VLOOKUP(X104,Schichten!$A$5:$G$24,7,FALSE()),0))</f>
        <v>7</v>
      </c>
      <c r="AA104" s="28" t="n">
        <f aca="false">IF($A104="","",IF(N(Y104)=0,"",$A104+VLOOKUP(X104,Schichten!$A$5:$G$24,3,FALSE())))</f>
        <v>46487.9166666667</v>
      </c>
      <c r="AB104" s="28" t="n">
        <f aca="false">IF(AA104="","",$A104+VLOOKUP(X104,Schichten!$A$5:$G$24,4,FALSE())+IF(VLOOKUP(X104,Schichten!$A$5:$G$24,4,FALSE())&lt;=VLOOKUP(X104,Schichten!$A$5:$G$24,3,FALSE()),1,0))</f>
        <v>46488.25</v>
      </c>
      <c r="AC104" s="28" t="n">
        <f aca="false">IF($A104="","",IF(N(Y103)&gt;0,AB103,AC103))</f>
        <v>46486.9166666667</v>
      </c>
      <c r="AD104" s="27" t="n">
        <f aca="false">IF(OR(AA104="",AC104=""),"",(AA104-AC104)*24)</f>
        <v>24</v>
      </c>
      <c r="AE104" s="21" t="n">
        <f aca="false">IF($A104="","",IF(N(Y104)&gt;0,N(AE103)+1,0))</f>
        <v>5</v>
      </c>
      <c r="AF104" s="21" t="n">
        <f aca="false">IF($A104="","",IF(N(Z104)&gt;0,N(AF103)+1,0))</f>
        <v>1</v>
      </c>
      <c r="AG104" s="21" t="str">
        <f aca="false">IF($A104="","",IF(WEEKDAY($A104,2)&lt;&gt;7,"",IF(AND(OR(AA104="",N(AA104)&gt;=$A104+16/24,N(AB104)&lt;=$A104+6/24),OR(AC104="",N(AC104)&lt;=$A104+6/24)),1,0)))</f>
        <v/>
      </c>
      <c r="AH104" s="26" t="str">
        <f aca="false">IF($A104="","",IF(INDEX(Muster!$C$9:$BF$9,1,MOD($A104-Einstellungen!$C$6,Einstellungen!$C$7)+1)="","-",INDEX(Muster!$C$9:$BF$9,1,MOD($A104-Einstellungen!$C$6,Einstellungen!$C$7)+1)))</f>
        <v>S</v>
      </c>
      <c r="AI104" s="27" t="n">
        <f aca="false">IF($A104="","",IFERROR(VLOOKUP(AH104,Schichten!$A$5:$G$24,6,FALSE()),0))</f>
        <v>8</v>
      </c>
      <c r="AJ104" s="27" t="n">
        <f aca="false">IF($A104="","",IFERROR(VLOOKUP(AH104,Schichten!$A$5:$G$24,7,FALSE()),0))</f>
        <v>0</v>
      </c>
      <c r="AK104" s="28" t="n">
        <f aca="false">IF($A104="","",IF(N(AI104)=0,"",$A104+VLOOKUP(AH104,Schichten!$A$5:$G$24,3,FALSE())))</f>
        <v>46487.5833333333</v>
      </c>
      <c r="AL104" s="28" t="n">
        <f aca="false">IF(AK104="","",$A104+VLOOKUP(AH104,Schichten!$A$5:$G$24,4,FALSE())+IF(VLOOKUP(AH104,Schichten!$A$5:$G$24,4,FALSE())&lt;=VLOOKUP(AH104,Schichten!$A$5:$G$24,3,FALSE()),1,0))</f>
        <v>46487.9166666667</v>
      </c>
      <c r="AM104" s="28" t="n">
        <f aca="false">IF($A104="","",IF(N(AI103)&gt;0,AL103,AM103))</f>
        <v>46486.5833333333</v>
      </c>
      <c r="AN104" s="27" t="n">
        <f aca="false">IF(OR(AK104="",AM104=""),"",(AK104-AM104)*24)</f>
        <v>24</v>
      </c>
      <c r="AO104" s="21" t="n">
        <f aca="false">IF($A104="","",IF(N(AI104)&gt;0,N(AO103)+1,0))</f>
        <v>3</v>
      </c>
      <c r="AP104" s="21" t="n">
        <f aca="false">IF($A104="","",IF(N(AJ104)&gt;0,N(AP103)+1,0))</f>
        <v>0</v>
      </c>
      <c r="AQ104" s="21" t="str">
        <f aca="false">IF($A104="","",IF(WEEKDAY($A104,2)&lt;&gt;7,"",IF(AND(OR(AK104="",N(AK104)&gt;=$A104+16/24,N(AL104)&lt;=$A104+6/24),OR(AM104="",N(AM104)&lt;=$A104+6/24)),1,0)))</f>
        <v/>
      </c>
      <c r="AR104" s="26" t="str">
        <f aca="false">IF($A104="","",IF(INDEX(Muster!$C$10:$BF$10,1,MOD($A104-Einstellungen!$C$6,Einstellungen!$C$7)+1)="","-",INDEX(Muster!$C$10:$BF$10,1,MOD($A104-Einstellungen!$C$6,Einstellungen!$C$7)+1)))</f>
        <v>-</v>
      </c>
      <c r="AS104" s="27" t="n">
        <f aca="false">IF($A104="","",IFERROR(VLOOKUP(AR104,Schichten!$A$5:$G$24,6,FALSE()),0))</f>
        <v>0</v>
      </c>
      <c r="AT104" s="27" t="n">
        <f aca="false">IF($A104="","",IFERROR(VLOOKUP(AR104,Schichten!$A$5:$G$24,7,FALSE()),0))</f>
        <v>0</v>
      </c>
      <c r="AU104" s="28" t="str">
        <f aca="false">IF($A104="","",IF(N(AS104)=0,"",$A104+VLOOKUP(AR104,Schichten!$A$5:$G$24,3,FALSE())))</f>
        <v/>
      </c>
      <c r="AV104" s="28" t="str">
        <f aca="false">IF(AU104="","",$A104+VLOOKUP(AR104,Schichten!$A$5:$G$24,4,FALSE())+IF(VLOOKUP(AR104,Schichten!$A$5:$G$24,4,FALSE())&lt;=VLOOKUP(AR104,Schichten!$A$5:$G$24,3,FALSE()),1,0))</f>
        <v/>
      </c>
      <c r="AW104" s="28" t="str">
        <f aca="false">IF($A104="","",IF(N(AS103)&gt;0,AV103,AW103))</f>
        <v/>
      </c>
      <c r="AX104" s="27" t="str">
        <f aca="false">IF(OR(AU104="",AW104=""),"",(AU104-AW104)*24)</f>
        <v/>
      </c>
      <c r="AY104" s="21" t="n">
        <f aca="false">IF($A104="","",IF(N(AS104)&gt;0,N(AY103)+1,0))</f>
        <v>0</v>
      </c>
      <c r="AZ104" s="21" t="n">
        <f aca="false">IF($A104="","",IF(N(AT104)&gt;0,N(AZ103)+1,0))</f>
        <v>0</v>
      </c>
      <c r="BA104" s="21" t="str">
        <f aca="false">IF($A104="","",IF(WEEKDAY($A104,2)&lt;&gt;7,"",IF(AND(OR(AU104="",N(AU104)&gt;=$A104+16/24,N(AV104)&lt;=$A104+6/24),OR(AW104="",N(AW104)&lt;=$A104+6/24)),1,0)))</f>
        <v/>
      </c>
    </row>
    <row r="105" customFormat="false" ht="15" hidden="false" customHeight="false" outlineLevel="0" collapsed="false">
      <c r="A105" s="25" t="n">
        <f aca="false">IF(YEAR(DATE(Einstellungen!$C$4,1,1)+100)=Einstellungen!$C$4,DATE(Einstellungen!$C$4,1,1)+100,"")</f>
        <v>46488</v>
      </c>
      <c r="B105" s="26" t="str">
        <f aca="false">IF($A105="","",CHOOSE(WEEKDAY($A105,2),"Mo","Di","Mi","Do","Fr","Sa","So"))</f>
        <v>So</v>
      </c>
      <c r="C105" s="26" t="n">
        <f aca="false">IF($A105="","",MONTH($A105))</f>
        <v>4</v>
      </c>
      <c r="D105" s="26" t="str">
        <f aca="false">IF($A105="","",IF(INDEX(Muster!$C$6:$BF$6,1,MOD($A105-Einstellungen!$C$6,Einstellungen!$C$7)+1)="","-",INDEX(Muster!$C$6:$BF$6,1,MOD($A105-Einstellungen!$C$6,Einstellungen!$C$7)+1)))</f>
        <v>F</v>
      </c>
      <c r="E105" s="27" t="n">
        <f aca="false">IF($A105="","",IFERROR(VLOOKUP(D105,Schichten!$A$5:$G$24,6,FALSE()),0))</f>
        <v>8</v>
      </c>
      <c r="F105" s="27" t="n">
        <f aca="false">IF($A105="","",IFERROR(VLOOKUP(D105,Schichten!$A$5:$G$24,7,FALSE()),0))</f>
        <v>0</v>
      </c>
      <c r="G105" s="28" t="n">
        <f aca="false">IF($A105="","",IF(N(E105)=0,"",$A105+VLOOKUP(D105,Schichten!$A$5:$G$24,3,FALSE())))</f>
        <v>46488.25</v>
      </c>
      <c r="H105" s="28" t="n">
        <f aca="false">IF(G105="","",$A105+VLOOKUP(D105,Schichten!$A$5:$G$24,4,FALSE())+IF(VLOOKUP(D105,Schichten!$A$5:$G$24,4,FALSE())&lt;=VLOOKUP(D105,Schichten!$A$5:$G$24,3,FALSE()),1,0))</f>
        <v>46488.5833333333</v>
      </c>
      <c r="I105" s="28" t="n">
        <f aca="false">IF($A105="","",IF(N(E104)&gt;0,H104,I104))</f>
        <v>46487.5833333333</v>
      </c>
      <c r="J105" s="27" t="n">
        <f aca="false">IF(OR(G105="",I105=""),"",(G105-I105)*24)</f>
        <v>16</v>
      </c>
      <c r="K105" s="21" t="n">
        <f aca="false">IF($A105="","",IF(N(E105)&gt;0,N(K104)+1,0))</f>
        <v>2</v>
      </c>
      <c r="L105" s="21" t="n">
        <f aca="false">IF($A105="","",IF(N(F105)&gt;0,N(L104)+1,0))</f>
        <v>0</v>
      </c>
      <c r="M105" s="21" t="n">
        <f aca="false">IF($A105="","",IF(WEEKDAY($A105,2)&lt;&gt;7,"",IF(AND(OR(G105="",N(G105)&gt;=$A105+16/24,N(H105)&lt;=$A105+6/24),OR(I105="",N(I105)&lt;=$A105+6/24)),1,0)))</f>
        <v>0</v>
      </c>
      <c r="N105" s="26" t="str">
        <f aca="false">IF($A105="","",IF(INDEX(Muster!$C$7:$BF$7,1,MOD($A105-Einstellungen!$C$6,Einstellungen!$C$7)+1)="","-",INDEX(Muster!$C$7:$BF$7,1,MOD($A105-Einstellungen!$C$6,Einstellungen!$C$7)+1)))</f>
        <v>-</v>
      </c>
      <c r="O105" s="27" t="n">
        <f aca="false">IF($A105="","",IFERROR(VLOOKUP(N105,Schichten!$A$5:$G$24,6,FALSE()),0))</f>
        <v>0</v>
      </c>
      <c r="P105" s="27" t="n">
        <f aca="false">IF($A105="","",IFERROR(VLOOKUP(N105,Schichten!$A$5:$G$24,7,FALSE()),0))</f>
        <v>0</v>
      </c>
      <c r="Q105" s="28" t="str">
        <f aca="false">IF($A105="","",IF(N(O105)=0,"",$A105+VLOOKUP(N105,Schichten!$A$5:$G$24,3,FALSE())))</f>
        <v/>
      </c>
      <c r="R105" s="28" t="str">
        <f aca="false">IF(Q105="","",$A105+VLOOKUP(N105,Schichten!$A$5:$G$24,4,FALSE())+IF(VLOOKUP(N105,Schichten!$A$5:$G$24,4,FALSE())&lt;=VLOOKUP(N105,Schichten!$A$5:$G$24,3,FALSE()),1,0))</f>
        <v/>
      </c>
      <c r="S105" s="28" t="n">
        <f aca="false">IF($A105="","",IF(N(O104)&gt;0,R104,S104))</f>
        <v>46487.25</v>
      </c>
      <c r="T105" s="27" t="str">
        <f aca="false">IF(OR(Q105="",S105=""),"",(Q105-S105)*24)</f>
        <v/>
      </c>
      <c r="U105" s="21" t="n">
        <f aca="false">IF($A105="","",IF(N(O105)&gt;0,N(U104)+1,0))</f>
        <v>0</v>
      </c>
      <c r="V105" s="21" t="n">
        <f aca="false">IF($A105="","",IF(N(P105)&gt;0,N(V104)+1,0))</f>
        <v>0</v>
      </c>
      <c r="W105" s="21" t="n">
        <f aca="false">IF($A105="","",IF(WEEKDAY($A105,2)&lt;&gt;7,"",IF(AND(OR(Q105="",N(Q105)&gt;=$A105+16/24,N(R105)&lt;=$A105+6/24),OR(S105="",N(S105)&lt;=$A105+6/24)),1,0)))</f>
        <v>1</v>
      </c>
      <c r="X105" s="26" t="str">
        <f aca="false">IF($A105="","",IF(INDEX(Muster!$C$8:$BF$8,1,MOD($A105-Einstellungen!$C$6,Einstellungen!$C$7)+1)="","-",INDEX(Muster!$C$8:$BF$8,1,MOD($A105-Einstellungen!$C$6,Einstellungen!$C$7)+1)))</f>
        <v>N</v>
      </c>
      <c r="Y105" s="27" t="n">
        <f aca="false">IF($A105="","",IFERROR(VLOOKUP(X105,Schichten!$A$5:$G$24,6,FALSE()),0))</f>
        <v>8</v>
      </c>
      <c r="Z105" s="27" t="n">
        <f aca="false">IF($A105="","",IFERROR(VLOOKUP(X105,Schichten!$A$5:$G$24,7,FALSE()),0))</f>
        <v>7</v>
      </c>
      <c r="AA105" s="28" t="n">
        <f aca="false">IF($A105="","",IF(N(Y105)=0,"",$A105+VLOOKUP(X105,Schichten!$A$5:$G$24,3,FALSE())))</f>
        <v>46488.9166666667</v>
      </c>
      <c r="AB105" s="28" t="n">
        <f aca="false">IF(AA105="","",$A105+VLOOKUP(X105,Schichten!$A$5:$G$24,4,FALSE())+IF(VLOOKUP(X105,Schichten!$A$5:$G$24,4,FALSE())&lt;=VLOOKUP(X105,Schichten!$A$5:$G$24,3,FALSE()),1,0))</f>
        <v>46489.25</v>
      </c>
      <c r="AC105" s="28" t="n">
        <f aca="false">IF($A105="","",IF(N(Y104)&gt;0,AB104,AC104))</f>
        <v>46488.25</v>
      </c>
      <c r="AD105" s="27" t="n">
        <f aca="false">IF(OR(AA105="",AC105=""),"",(AA105-AC105)*24)</f>
        <v>16</v>
      </c>
      <c r="AE105" s="21" t="n">
        <f aca="false">IF($A105="","",IF(N(Y105)&gt;0,N(AE104)+1,0))</f>
        <v>6</v>
      </c>
      <c r="AF105" s="21" t="n">
        <f aca="false">IF($A105="","",IF(N(Z105)&gt;0,N(AF104)+1,0))</f>
        <v>2</v>
      </c>
      <c r="AG105" s="21" t="n">
        <f aca="false">IF($A105="","",IF(WEEKDAY($A105,2)&lt;&gt;7,"",IF(AND(OR(AA105="",N(AA105)&gt;=$A105+16/24,N(AB105)&lt;=$A105+6/24),OR(AC105="",N(AC105)&lt;=$A105+6/24)),1,0)))</f>
        <v>1</v>
      </c>
      <c r="AH105" s="26" t="str">
        <f aca="false">IF($A105="","",IF(INDEX(Muster!$C$9:$BF$9,1,MOD($A105-Einstellungen!$C$6,Einstellungen!$C$7)+1)="","-",INDEX(Muster!$C$9:$BF$9,1,MOD($A105-Einstellungen!$C$6,Einstellungen!$C$7)+1)))</f>
        <v>S</v>
      </c>
      <c r="AI105" s="27" t="n">
        <f aca="false">IF($A105="","",IFERROR(VLOOKUP(AH105,Schichten!$A$5:$G$24,6,FALSE()),0))</f>
        <v>8</v>
      </c>
      <c r="AJ105" s="27" t="n">
        <f aca="false">IF($A105="","",IFERROR(VLOOKUP(AH105,Schichten!$A$5:$G$24,7,FALSE()),0))</f>
        <v>0</v>
      </c>
      <c r="AK105" s="28" t="n">
        <f aca="false">IF($A105="","",IF(N(AI105)=0,"",$A105+VLOOKUP(AH105,Schichten!$A$5:$G$24,3,FALSE())))</f>
        <v>46488.5833333333</v>
      </c>
      <c r="AL105" s="28" t="n">
        <f aca="false">IF(AK105="","",$A105+VLOOKUP(AH105,Schichten!$A$5:$G$24,4,FALSE())+IF(VLOOKUP(AH105,Schichten!$A$5:$G$24,4,FALSE())&lt;=VLOOKUP(AH105,Schichten!$A$5:$G$24,3,FALSE()),1,0))</f>
        <v>46488.9166666667</v>
      </c>
      <c r="AM105" s="28" t="n">
        <f aca="false">IF($A105="","",IF(N(AI104)&gt;0,AL104,AM104))</f>
        <v>46487.9166666667</v>
      </c>
      <c r="AN105" s="27" t="n">
        <f aca="false">IF(OR(AK105="",AM105=""),"",(AK105-AM105)*24)</f>
        <v>16</v>
      </c>
      <c r="AO105" s="21" t="n">
        <f aca="false">IF($A105="","",IF(N(AI105)&gt;0,N(AO104)+1,0))</f>
        <v>4</v>
      </c>
      <c r="AP105" s="21" t="n">
        <f aca="false">IF($A105="","",IF(N(AJ105)&gt;0,N(AP104)+1,0))</f>
        <v>0</v>
      </c>
      <c r="AQ105" s="21" t="n">
        <f aca="false">IF($A105="","",IF(WEEKDAY($A105,2)&lt;&gt;7,"",IF(AND(OR(AK105="",N(AK105)&gt;=$A105+16/24,N(AL105)&lt;=$A105+6/24),OR(AM105="",N(AM105)&lt;=$A105+6/24)),1,0)))</f>
        <v>0</v>
      </c>
      <c r="AR105" s="26" t="str">
        <f aca="false">IF($A105="","",IF(INDEX(Muster!$C$10:$BF$10,1,MOD($A105-Einstellungen!$C$6,Einstellungen!$C$7)+1)="","-",INDEX(Muster!$C$10:$BF$10,1,MOD($A105-Einstellungen!$C$6,Einstellungen!$C$7)+1)))</f>
        <v>-</v>
      </c>
      <c r="AS105" s="27" t="n">
        <f aca="false">IF($A105="","",IFERROR(VLOOKUP(AR105,Schichten!$A$5:$G$24,6,FALSE()),0))</f>
        <v>0</v>
      </c>
      <c r="AT105" s="27" t="n">
        <f aca="false">IF($A105="","",IFERROR(VLOOKUP(AR105,Schichten!$A$5:$G$24,7,FALSE()),0))</f>
        <v>0</v>
      </c>
      <c r="AU105" s="28" t="str">
        <f aca="false">IF($A105="","",IF(N(AS105)=0,"",$A105+VLOOKUP(AR105,Schichten!$A$5:$G$24,3,FALSE())))</f>
        <v/>
      </c>
      <c r="AV105" s="28" t="str">
        <f aca="false">IF(AU105="","",$A105+VLOOKUP(AR105,Schichten!$A$5:$G$24,4,FALSE())+IF(VLOOKUP(AR105,Schichten!$A$5:$G$24,4,FALSE())&lt;=VLOOKUP(AR105,Schichten!$A$5:$G$24,3,FALSE()),1,0))</f>
        <v/>
      </c>
      <c r="AW105" s="28" t="str">
        <f aca="false">IF($A105="","",IF(N(AS104)&gt;0,AV104,AW104))</f>
        <v/>
      </c>
      <c r="AX105" s="27" t="str">
        <f aca="false">IF(OR(AU105="",AW105=""),"",(AU105-AW105)*24)</f>
        <v/>
      </c>
      <c r="AY105" s="21" t="n">
        <f aca="false">IF($A105="","",IF(N(AS105)&gt;0,N(AY104)+1,0))</f>
        <v>0</v>
      </c>
      <c r="AZ105" s="21" t="n">
        <f aca="false">IF($A105="","",IF(N(AT105)&gt;0,N(AZ104)+1,0))</f>
        <v>0</v>
      </c>
      <c r="BA105" s="21" t="n">
        <f aca="false">IF($A105="","",IF(WEEKDAY($A105,2)&lt;&gt;7,"",IF(AND(OR(AU105="",N(AU105)&gt;=$A105+16/24,N(AV105)&lt;=$A105+6/24),OR(AW105="",N(AW105)&lt;=$A105+6/24)),1,0)))</f>
        <v>1</v>
      </c>
    </row>
    <row r="106" customFormat="false" ht="15" hidden="false" customHeight="false" outlineLevel="0" collapsed="false">
      <c r="A106" s="25" t="n">
        <f aca="false">IF(YEAR(DATE(Einstellungen!$C$4,1,1)+101)=Einstellungen!$C$4,DATE(Einstellungen!$C$4,1,1)+101,"")</f>
        <v>46489</v>
      </c>
      <c r="B106" s="26" t="str">
        <f aca="false">IF($A106="","",CHOOSE(WEEKDAY($A106,2),"Mo","Di","Mi","Do","Fr","Sa","So"))</f>
        <v>Mo</v>
      </c>
      <c r="C106" s="26" t="n">
        <f aca="false">IF($A106="","",MONTH($A106))</f>
        <v>4</v>
      </c>
      <c r="D106" s="26" t="str">
        <f aca="false">IF($A106="","",IF(INDEX(Muster!$C$6:$BF$6,1,MOD($A106-Einstellungen!$C$6,Einstellungen!$C$7)+1)="","-",INDEX(Muster!$C$6:$BF$6,1,MOD($A106-Einstellungen!$C$6,Einstellungen!$C$7)+1)))</f>
        <v>S</v>
      </c>
      <c r="E106" s="27" t="n">
        <f aca="false">IF($A106="","",IFERROR(VLOOKUP(D106,Schichten!$A$5:$G$24,6,FALSE()),0))</f>
        <v>8</v>
      </c>
      <c r="F106" s="27" t="n">
        <f aca="false">IF($A106="","",IFERROR(VLOOKUP(D106,Schichten!$A$5:$G$24,7,FALSE()),0))</f>
        <v>0</v>
      </c>
      <c r="G106" s="28" t="n">
        <f aca="false">IF($A106="","",IF(N(E106)=0,"",$A106+VLOOKUP(D106,Schichten!$A$5:$G$24,3,FALSE())))</f>
        <v>46489.5833333333</v>
      </c>
      <c r="H106" s="28" t="n">
        <f aca="false">IF(G106="","",$A106+VLOOKUP(D106,Schichten!$A$5:$G$24,4,FALSE())+IF(VLOOKUP(D106,Schichten!$A$5:$G$24,4,FALSE())&lt;=VLOOKUP(D106,Schichten!$A$5:$G$24,3,FALSE()),1,0))</f>
        <v>46489.9166666667</v>
      </c>
      <c r="I106" s="28" t="n">
        <f aca="false">IF($A106="","",IF(N(E105)&gt;0,H105,I105))</f>
        <v>46488.5833333333</v>
      </c>
      <c r="J106" s="27" t="n">
        <f aca="false">IF(OR(G106="",I106=""),"",(G106-I106)*24)</f>
        <v>24</v>
      </c>
      <c r="K106" s="21" t="n">
        <f aca="false">IF($A106="","",IF(N(E106)&gt;0,N(K105)+1,0))</f>
        <v>3</v>
      </c>
      <c r="L106" s="21" t="n">
        <f aca="false">IF($A106="","",IF(N(F106)&gt;0,N(L105)+1,0))</f>
        <v>0</v>
      </c>
      <c r="M106" s="21" t="str">
        <f aca="false">IF($A106="","",IF(WEEKDAY($A106,2)&lt;&gt;7,"",IF(AND(OR(G106="",N(G106)&gt;=$A106+16/24,N(H106)&lt;=$A106+6/24),OR(I106="",N(I106)&lt;=$A106+6/24)),1,0)))</f>
        <v/>
      </c>
      <c r="N106" s="26" t="str">
        <f aca="false">IF($A106="","",IF(INDEX(Muster!$C$7:$BF$7,1,MOD($A106-Einstellungen!$C$6,Einstellungen!$C$7)+1)="","-",INDEX(Muster!$C$7:$BF$7,1,MOD($A106-Einstellungen!$C$6,Einstellungen!$C$7)+1)))</f>
        <v>F</v>
      </c>
      <c r="O106" s="27" t="n">
        <f aca="false">IF($A106="","",IFERROR(VLOOKUP(N106,Schichten!$A$5:$G$24,6,FALSE()),0))</f>
        <v>8</v>
      </c>
      <c r="P106" s="27" t="n">
        <f aca="false">IF($A106="","",IFERROR(VLOOKUP(N106,Schichten!$A$5:$G$24,7,FALSE()),0))</f>
        <v>0</v>
      </c>
      <c r="Q106" s="28" t="n">
        <f aca="false">IF($A106="","",IF(N(O106)=0,"",$A106+VLOOKUP(N106,Schichten!$A$5:$G$24,3,FALSE())))</f>
        <v>46489.25</v>
      </c>
      <c r="R106" s="28" t="n">
        <f aca="false">IF(Q106="","",$A106+VLOOKUP(N106,Schichten!$A$5:$G$24,4,FALSE())+IF(VLOOKUP(N106,Schichten!$A$5:$G$24,4,FALSE())&lt;=VLOOKUP(N106,Schichten!$A$5:$G$24,3,FALSE()),1,0))</f>
        <v>46489.5833333333</v>
      </c>
      <c r="S106" s="28" t="n">
        <f aca="false">IF($A106="","",IF(N(O105)&gt;0,R105,S105))</f>
        <v>46487.25</v>
      </c>
      <c r="T106" s="27" t="n">
        <f aca="false">IF(OR(Q106="",S106=""),"",(Q106-S106)*24)</f>
        <v>48</v>
      </c>
      <c r="U106" s="21" t="n">
        <f aca="false">IF($A106="","",IF(N(O106)&gt;0,N(U105)+1,0))</f>
        <v>1</v>
      </c>
      <c r="V106" s="21" t="n">
        <f aca="false">IF($A106="","",IF(N(P106)&gt;0,N(V105)+1,0))</f>
        <v>0</v>
      </c>
      <c r="W106" s="21" t="str">
        <f aca="false">IF($A106="","",IF(WEEKDAY($A106,2)&lt;&gt;7,"",IF(AND(OR(Q106="",N(Q106)&gt;=$A106+16/24,N(R106)&lt;=$A106+6/24),OR(S106="",N(S106)&lt;=$A106+6/24)),1,0)))</f>
        <v/>
      </c>
      <c r="X106" s="26" t="str">
        <f aca="false">IF($A106="","",IF(INDEX(Muster!$C$8:$BF$8,1,MOD($A106-Einstellungen!$C$6,Einstellungen!$C$7)+1)="","-",INDEX(Muster!$C$8:$BF$8,1,MOD($A106-Einstellungen!$C$6,Einstellungen!$C$7)+1)))</f>
        <v>-</v>
      </c>
      <c r="Y106" s="27" t="n">
        <f aca="false">IF($A106="","",IFERROR(VLOOKUP(X106,Schichten!$A$5:$G$24,6,FALSE()),0))</f>
        <v>0</v>
      </c>
      <c r="Z106" s="27" t="n">
        <f aca="false">IF($A106="","",IFERROR(VLOOKUP(X106,Schichten!$A$5:$G$24,7,FALSE()),0))</f>
        <v>0</v>
      </c>
      <c r="AA106" s="28" t="str">
        <f aca="false">IF($A106="","",IF(N(Y106)=0,"",$A106+VLOOKUP(X106,Schichten!$A$5:$G$24,3,FALSE())))</f>
        <v/>
      </c>
      <c r="AB106" s="28" t="str">
        <f aca="false">IF(AA106="","",$A106+VLOOKUP(X106,Schichten!$A$5:$G$24,4,FALSE())+IF(VLOOKUP(X106,Schichten!$A$5:$G$24,4,FALSE())&lt;=VLOOKUP(X106,Schichten!$A$5:$G$24,3,FALSE()),1,0))</f>
        <v/>
      </c>
      <c r="AC106" s="28" t="n">
        <f aca="false">IF($A106="","",IF(N(Y105)&gt;0,AB105,AC105))</f>
        <v>46489.25</v>
      </c>
      <c r="AD106" s="27" t="str">
        <f aca="false">IF(OR(AA106="",AC106=""),"",(AA106-AC106)*24)</f>
        <v/>
      </c>
      <c r="AE106" s="21" t="n">
        <f aca="false">IF($A106="","",IF(N(Y106)&gt;0,N(AE105)+1,0))</f>
        <v>0</v>
      </c>
      <c r="AF106" s="21" t="n">
        <f aca="false">IF($A106="","",IF(N(Z106)&gt;0,N(AF105)+1,0))</f>
        <v>0</v>
      </c>
      <c r="AG106" s="21" t="str">
        <f aca="false">IF($A106="","",IF(WEEKDAY($A106,2)&lt;&gt;7,"",IF(AND(OR(AA106="",N(AA106)&gt;=$A106+16/24,N(AB106)&lt;=$A106+6/24),OR(AC106="",N(AC106)&lt;=$A106+6/24)),1,0)))</f>
        <v/>
      </c>
      <c r="AH106" s="26" t="str">
        <f aca="false">IF($A106="","",IF(INDEX(Muster!$C$9:$BF$9,1,MOD($A106-Einstellungen!$C$6,Einstellungen!$C$7)+1)="","-",INDEX(Muster!$C$9:$BF$9,1,MOD($A106-Einstellungen!$C$6,Einstellungen!$C$7)+1)))</f>
        <v>N</v>
      </c>
      <c r="AI106" s="27" t="n">
        <f aca="false">IF($A106="","",IFERROR(VLOOKUP(AH106,Schichten!$A$5:$G$24,6,FALSE()),0))</f>
        <v>8</v>
      </c>
      <c r="AJ106" s="27" t="n">
        <f aca="false">IF($A106="","",IFERROR(VLOOKUP(AH106,Schichten!$A$5:$G$24,7,FALSE()),0))</f>
        <v>7</v>
      </c>
      <c r="AK106" s="28" t="n">
        <f aca="false">IF($A106="","",IF(N(AI106)=0,"",$A106+VLOOKUP(AH106,Schichten!$A$5:$G$24,3,FALSE())))</f>
        <v>46489.9166666667</v>
      </c>
      <c r="AL106" s="28" t="n">
        <f aca="false">IF(AK106="","",$A106+VLOOKUP(AH106,Schichten!$A$5:$G$24,4,FALSE())+IF(VLOOKUP(AH106,Schichten!$A$5:$G$24,4,FALSE())&lt;=VLOOKUP(AH106,Schichten!$A$5:$G$24,3,FALSE()),1,0))</f>
        <v>46490.25</v>
      </c>
      <c r="AM106" s="28" t="n">
        <f aca="false">IF($A106="","",IF(N(AI105)&gt;0,AL105,AM105))</f>
        <v>46488.9166666667</v>
      </c>
      <c r="AN106" s="27" t="n">
        <f aca="false">IF(OR(AK106="",AM106=""),"",(AK106-AM106)*24)</f>
        <v>24</v>
      </c>
      <c r="AO106" s="21" t="n">
        <f aca="false">IF($A106="","",IF(N(AI106)&gt;0,N(AO105)+1,0))</f>
        <v>5</v>
      </c>
      <c r="AP106" s="21" t="n">
        <f aca="false">IF($A106="","",IF(N(AJ106)&gt;0,N(AP105)+1,0))</f>
        <v>1</v>
      </c>
      <c r="AQ106" s="21" t="str">
        <f aca="false">IF($A106="","",IF(WEEKDAY($A106,2)&lt;&gt;7,"",IF(AND(OR(AK106="",N(AK106)&gt;=$A106+16/24,N(AL106)&lt;=$A106+6/24),OR(AM106="",N(AM106)&lt;=$A106+6/24)),1,0)))</f>
        <v/>
      </c>
      <c r="AR106" s="26" t="str">
        <f aca="false">IF($A106="","",IF(INDEX(Muster!$C$10:$BF$10,1,MOD($A106-Einstellungen!$C$6,Einstellungen!$C$7)+1)="","-",INDEX(Muster!$C$10:$BF$10,1,MOD($A106-Einstellungen!$C$6,Einstellungen!$C$7)+1)))</f>
        <v>-</v>
      </c>
      <c r="AS106" s="27" t="n">
        <f aca="false">IF($A106="","",IFERROR(VLOOKUP(AR106,Schichten!$A$5:$G$24,6,FALSE()),0))</f>
        <v>0</v>
      </c>
      <c r="AT106" s="27" t="n">
        <f aca="false">IF($A106="","",IFERROR(VLOOKUP(AR106,Schichten!$A$5:$G$24,7,FALSE()),0))</f>
        <v>0</v>
      </c>
      <c r="AU106" s="28" t="str">
        <f aca="false">IF($A106="","",IF(N(AS106)=0,"",$A106+VLOOKUP(AR106,Schichten!$A$5:$G$24,3,FALSE())))</f>
        <v/>
      </c>
      <c r="AV106" s="28" t="str">
        <f aca="false">IF(AU106="","",$A106+VLOOKUP(AR106,Schichten!$A$5:$G$24,4,FALSE())+IF(VLOOKUP(AR106,Schichten!$A$5:$G$24,4,FALSE())&lt;=VLOOKUP(AR106,Schichten!$A$5:$G$24,3,FALSE()),1,0))</f>
        <v/>
      </c>
      <c r="AW106" s="28" t="str">
        <f aca="false">IF($A106="","",IF(N(AS105)&gt;0,AV105,AW105))</f>
        <v/>
      </c>
      <c r="AX106" s="27" t="str">
        <f aca="false">IF(OR(AU106="",AW106=""),"",(AU106-AW106)*24)</f>
        <v/>
      </c>
      <c r="AY106" s="21" t="n">
        <f aca="false">IF($A106="","",IF(N(AS106)&gt;0,N(AY105)+1,0))</f>
        <v>0</v>
      </c>
      <c r="AZ106" s="21" t="n">
        <f aca="false">IF($A106="","",IF(N(AT106)&gt;0,N(AZ105)+1,0))</f>
        <v>0</v>
      </c>
      <c r="BA106" s="21" t="str">
        <f aca="false">IF($A106="","",IF(WEEKDAY($A106,2)&lt;&gt;7,"",IF(AND(OR(AU106="",N(AU106)&gt;=$A106+16/24,N(AV106)&lt;=$A106+6/24),OR(AW106="",N(AW106)&lt;=$A106+6/24)),1,0)))</f>
        <v/>
      </c>
    </row>
    <row r="107" customFormat="false" ht="15" hidden="false" customHeight="false" outlineLevel="0" collapsed="false">
      <c r="A107" s="25" t="n">
        <f aca="false">IF(YEAR(DATE(Einstellungen!$C$4,1,1)+102)=Einstellungen!$C$4,DATE(Einstellungen!$C$4,1,1)+102,"")</f>
        <v>46490</v>
      </c>
      <c r="B107" s="26" t="str">
        <f aca="false">IF($A107="","",CHOOSE(WEEKDAY($A107,2),"Mo","Di","Mi","Do","Fr","Sa","So"))</f>
        <v>Di</v>
      </c>
      <c r="C107" s="26" t="n">
        <f aca="false">IF($A107="","",MONTH($A107))</f>
        <v>4</v>
      </c>
      <c r="D107" s="26" t="str">
        <f aca="false">IF($A107="","",IF(INDEX(Muster!$C$6:$BF$6,1,MOD($A107-Einstellungen!$C$6,Einstellungen!$C$7)+1)="","-",INDEX(Muster!$C$6:$BF$6,1,MOD($A107-Einstellungen!$C$6,Einstellungen!$C$7)+1)))</f>
        <v>S</v>
      </c>
      <c r="E107" s="27" t="n">
        <f aca="false">IF($A107="","",IFERROR(VLOOKUP(D107,Schichten!$A$5:$G$24,6,FALSE()),0))</f>
        <v>8</v>
      </c>
      <c r="F107" s="27" t="n">
        <f aca="false">IF($A107="","",IFERROR(VLOOKUP(D107,Schichten!$A$5:$G$24,7,FALSE()),0))</f>
        <v>0</v>
      </c>
      <c r="G107" s="28" t="n">
        <f aca="false">IF($A107="","",IF(N(E107)=0,"",$A107+VLOOKUP(D107,Schichten!$A$5:$G$24,3,FALSE())))</f>
        <v>46490.5833333333</v>
      </c>
      <c r="H107" s="28" t="n">
        <f aca="false">IF(G107="","",$A107+VLOOKUP(D107,Schichten!$A$5:$G$24,4,FALSE())+IF(VLOOKUP(D107,Schichten!$A$5:$G$24,4,FALSE())&lt;=VLOOKUP(D107,Schichten!$A$5:$G$24,3,FALSE()),1,0))</f>
        <v>46490.9166666667</v>
      </c>
      <c r="I107" s="28" t="n">
        <f aca="false">IF($A107="","",IF(N(E106)&gt;0,H106,I106))</f>
        <v>46489.9166666667</v>
      </c>
      <c r="J107" s="27" t="n">
        <f aca="false">IF(OR(G107="",I107=""),"",(G107-I107)*24)</f>
        <v>16</v>
      </c>
      <c r="K107" s="21" t="n">
        <f aca="false">IF($A107="","",IF(N(E107)&gt;0,N(K106)+1,0))</f>
        <v>4</v>
      </c>
      <c r="L107" s="21" t="n">
        <f aca="false">IF($A107="","",IF(N(F107)&gt;0,N(L106)+1,0))</f>
        <v>0</v>
      </c>
      <c r="M107" s="21" t="str">
        <f aca="false">IF($A107="","",IF(WEEKDAY($A107,2)&lt;&gt;7,"",IF(AND(OR(G107="",N(G107)&gt;=$A107+16/24,N(H107)&lt;=$A107+6/24),OR(I107="",N(I107)&lt;=$A107+6/24)),1,0)))</f>
        <v/>
      </c>
      <c r="N107" s="26" t="str">
        <f aca="false">IF($A107="","",IF(INDEX(Muster!$C$7:$BF$7,1,MOD($A107-Einstellungen!$C$6,Einstellungen!$C$7)+1)="","-",INDEX(Muster!$C$7:$BF$7,1,MOD($A107-Einstellungen!$C$6,Einstellungen!$C$7)+1)))</f>
        <v>F</v>
      </c>
      <c r="O107" s="27" t="n">
        <f aca="false">IF($A107="","",IFERROR(VLOOKUP(N107,Schichten!$A$5:$G$24,6,FALSE()),0))</f>
        <v>8</v>
      </c>
      <c r="P107" s="27" t="n">
        <f aca="false">IF($A107="","",IFERROR(VLOOKUP(N107,Schichten!$A$5:$G$24,7,FALSE()),0))</f>
        <v>0</v>
      </c>
      <c r="Q107" s="28" t="n">
        <f aca="false">IF($A107="","",IF(N(O107)=0,"",$A107+VLOOKUP(N107,Schichten!$A$5:$G$24,3,FALSE())))</f>
        <v>46490.25</v>
      </c>
      <c r="R107" s="28" t="n">
        <f aca="false">IF(Q107="","",$A107+VLOOKUP(N107,Schichten!$A$5:$G$24,4,FALSE())+IF(VLOOKUP(N107,Schichten!$A$5:$G$24,4,FALSE())&lt;=VLOOKUP(N107,Schichten!$A$5:$G$24,3,FALSE()),1,0))</f>
        <v>46490.5833333333</v>
      </c>
      <c r="S107" s="28" t="n">
        <f aca="false">IF($A107="","",IF(N(O106)&gt;0,R106,S106))</f>
        <v>46489.5833333333</v>
      </c>
      <c r="T107" s="27" t="n">
        <f aca="false">IF(OR(Q107="",S107=""),"",(Q107-S107)*24)</f>
        <v>16</v>
      </c>
      <c r="U107" s="21" t="n">
        <f aca="false">IF($A107="","",IF(N(O107)&gt;0,N(U106)+1,0))</f>
        <v>2</v>
      </c>
      <c r="V107" s="21" t="n">
        <f aca="false">IF($A107="","",IF(N(P107)&gt;0,N(V106)+1,0))</f>
        <v>0</v>
      </c>
      <c r="W107" s="21" t="str">
        <f aca="false">IF($A107="","",IF(WEEKDAY($A107,2)&lt;&gt;7,"",IF(AND(OR(Q107="",N(Q107)&gt;=$A107+16/24,N(R107)&lt;=$A107+6/24),OR(S107="",N(S107)&lt;=$A107+6/24)),1,0)))</f>
        <v/>
      </c>
      <c r="X107" s="26" t="str">
        <f aca="false">IF($A107="","",IF(INDEX(Muster!$C$8:$BF$8,1,MOD($A107-Einstellungen!$C$6,Einstellungen!$C$7)+1)="","-",INDEX(Muster!$C$8:$BF$8,1,MOD($A107-Einstellungen!$C$6,Einstellungen!$C$7)+1)))</f>
        <v>-</v>
      </c>
      <c r="Y107" s="27" t="n">
        <f aca="false">IF($A107="","",IFERROR(VLOOKUP(X107,Schichten!$A$5:$G$24,6,FALSE()),0))</f>
        <v>0</v>
      </c>
      <c r="Z107" s="27" t="n">
        <f aca="false">IF($A107="","",IFERROR(VLOOKUP(X107,Schichten!$A$5:$G$24,7,FALSE()),0))</f>
        <v>0</v>
      </c>
      <c r="AA107" s="28" t="str">
        <f aca="false">IF($A107="","",IF(N(Y107)=0,"",$A107+VLOOKUP(X107,Schichten!$A$5:$G$24,3,FALSE())))</f>
        <v/>
      </c>
      <c r="AB107" s="28" t="str">
        <f aca="false">IF(AA107="","",$A107+VLOOKUP(X107,Schichten!$A$5:$G$24,4,FALSE())+IF(VLOOKUP(X107,Schichten!$A$5:$G$24,4,FALSE())&lt;=VLOOKUP(X107,Schichten!$A$5:$G$24,3,FALSE()),1,0))</f>
        <v/>
      </c>
      <c r="AC107" s="28" t="n">
        <f aca="false">IF($A107="","",IF(N(Y106)&gt;0,AB106,AC106))</f>
        <v>46489.25</v>
      </c>
      <c r="AD107" s="27" t="str">
        <f aca="false">IF(OR(AA107="",AC107=""),"",(AA107-AC107)*24)</f>
        <v/>
      </c>
      <c r="AE107" s="21" t="n">
        <f aca="false">IF($A107="","",IF(N(Y107)&gt;0,N(AE106)+1,0))</f>
        <v>0</v>
      </c>
      <c r="AF107" s="21" t="n">
        <f aca="false">IF($A107="","",IF(N(Z107)&gt;0,N(AF106)+1,0))</f>
        <v>0</v>
      </c>
      <c r="AG107" s="21" t="str">
        <f aca="false">IF($A107="","",IF(WEEKDAY($A107,2)&lt;&gt;7,"",IF(AND(OR(AA107="",N(AA107)&gt;=$A107+16/24,N(AB107)&lt;=$A107+6/24),OR(AC107="",N(AC107)&lt;=$A107+6/24)),1,0)))</f>
        <v/>
      </c>
      <c r="AH107" s="26" t="str">
        <f aca="false">IF($A107="","",IF(INDEX(Muster!$C$9:$BF$9,1,MOD($A107-Einstellungen!$C$6,Einstellungen!$C$7)+1)="","-",INDEX(Muster!$C$9:$BF$9,1,MOD($A107-Einstellungen!$C$6,Einstellungen!$C$7)+1)))</f>
        <v>N</v>
      </c>
      <c r="AI107" s="27" t="n">
        <f aca="false">IF($A107="","",IFERROR(VLOOKUP(AH107,Schichten!$A$5:$G$24,6,FALSE()),0))</f>
        <v>8</v>
      </c>
      <c r="AJ107" s="27" t="n">
        <f aca="false">IF($A107="","",IFERROR(VLOOKUP(AH107,Schichten!$A$5:$G$24,7,FALSE()),0))</f>
        <v>7</v>
      </c>
      <c r="AK107" s="28" t="n">
        <f aca="false">IF($A107="","",IF(N(AI107)=0,"",$A107+VLOOKUP(AH107,Schichten!$A$5:$G$24,3,FALSE())))</f>
        <v>46490.9166666667</v>
      </c>
      <c r="AL107" s="28" t="n">
        <f aca="false">IF(AK107="","",$A107+VLOOKUP(AH107,Schichten!$A$5:$G$24,4,FALSE())+IF(VLOOKUP(AH107,Schichten!$A$5:$G$24,4,FALSE())&lt;=VLOOKUP(AH107,Schichten!$A$5:$G$24,3,FALSE()),1,0))</f>
        <v>46491.25</v>
      </c>
      <c r="AM107" s="28" t="n">
        <f aca="false">IF($A107="","",IF(N(AI106)&gt;0,AL106,AM106))</f>
        <v>46490.25</v>
      </c>
      <c r="AN107" s="27" t="n">
        <f aca="false">IF(OR(AK107="",AM107=""),"",(AK107-AM107)*24)</f>
        <v>16</v>
      </c>
      <c r="AO107" s="21" t="n">
        <f aca="false">IF($A107="","",IF(N(AI107)&gt;0,N(AO106)+1,0))</f>
        <v>6</v>
      </c>
      <c r="AP107" s="21" t="n">
        <f aca="false">IF($A107="","",IF(N(AJ107)&gt;0,N(AP106)+1,0))</f>
        <v>2</v>
      </c>
      <c r="AQ107" s="21" t="str">
        <f aca="false">IF($A107="","",IF(WEEKDAY($A107,2)&lt;&gt;7,"",IF(AND(OR(AK107="",N(AK107)&gt;=$A107+16/24,N(AL107)&lt;=$A107+6/24),OR(AM107="",N(AM107)&lt;=$A107+6/24)),1,0)))</f>
        <v/>
      </c>
      <c r="AR107" s="26" t="str">
        <f aca="false">IF($A107="","",IF(INDEX(Muster!$C$10:$BF$10,1,MOD($A107-Einstellungen!$C$6,Einstellungen!$C$7)+1)="","-",INDEX(Muster!$C$10:$BF$10,1,MOD($A107-Einstellungen!$C$6,Einstellungen!$C$7)+1)))</f>
        <v>-</v>
      </c>
      <c r="AS107" s="27" t="n">
        <f aca="false">IF($A107="","",IFERROR(VLOOKUP(AR107,Schichten!$A$5:$G$24,6,FALSE()),0))</f>
        <v>0</v>
      </c>
      <c r="AT107" s="27" t="n">
        <f aca="false">IF($A107="","",IFERROR(VLOOKUP(AR107,Schichten!$A$5:$G$24,7,FALSE()),0))</f>
        <v>0</v>
      </c>
      <c r="AU107" s="28" t="str">
        <f aca="false">IF($A107="","",IF(N(AS107)=0,"",$A107+VLOOKUP(AR107,Schichten!$A$5:$G$24,3,FALSE())))</f>
        <v/>
      </c>
      <c r="AV107" s="28" t="str">
        <f aca="false">IF(AU107="","",$A107+VLOOKUP(AR107,Schichten!$A$5:$G$24,4,FALSE())+IF(VLOOKUP(AR107,Schichten!$A$5:$G$24,4,FALSE())&lt;=VLOOKUP(AR107,Schichten!$A$5:$G$24,3,FALSE()),1,0))</f>
        <v/>
      </c>
      <c r="AW107" s="28" t="str">
        <f aca="false">IF($A107="","",IF(N(AS106)&gt;0,AV106,AW106))</f>
        <v/>
      </c>
      <c r="AX107" s="27" t="str">
        <f aca="false">IF(OR(AU107="",AW107=""),"",(AU107-AW107)*24)</f>
        <v/>
      </c>
      <c r="AY107" s="21" t="n">
        <f aca="false">IF($A107="","",IF(N(AS107)&gt;0,N(AY106)+1,0))</f>
        <v>0</v>
      </c>
      <c r="AZ107" s="21" t="n">
        <f aca="false">IF($A107="","",IF(N(AT107)&gt;0,N(AZ106)+1,0))</f>
        <v>0</v>
      </c>
      <c r="BA107" s="21" t="str">
        <f aca="false">IF($A107="","",IF(WEEKDAY($A107,2)&lt;&gt;7,"",IF(AND(OR(AU107="",N(AU107)&gt;=$A107+16/24,N(AV107)&lt;=$A107+6/24),OR(AW107="",N(AW107)&lt;=$A107+6/24)),1,0)))</f>
        <v/>
      </c>
    </row>
    <row r="108" customFormat="false" ht="15" hidden="false" customHeight="false" outlineLevel="0" collapsed="false">
      <c r="A108" s="25" t="n">
        <f aca="false">IF(YEAR(DATE(Einstellungen!$C$4,1,1)+103)=Einstellungen!$C$4,DATE(Einstellungen!$C$4,1,1)+103,"")</f>
        <v>46491</v>
      </c>
      <c r="B108" s="26" t="str">
        <f aca="false">IF($A108="","",CHOOSE(WEEKDAY($A108,2),"Mo","Di","Mi","Do","Fr","Sa","So"))</f>
        <v>Mi</v>
      </c>
      <c r="C108" s="26" t="n">
        <f aca="false">IF($A108="","",MONTH($A108))</f>
        <v>4</v>
      </c>
      <c r="D108" s="26" t="str">
        <f aca="false">IF($A108="","",IF(INDEX(Muster!$C$6:$BF$6,1,MOD($A108-Einstellungen!$C$6,Einstellungen!$C$7)+1)="","-",INDEX(Muster!$C$6:$BF$6,1,MOD($A108-Einstellungen!$C$6,Einstellungen!$C$7)+1)))</f>
        <v>N</v>
      </c>
      <c r="E108" s="27" t="n">
        <f aca="false">IF($A108="","",IFERROR(VLOOKUP(D108,Schichten!$A$5:$G$24,6,FALSE()),0))</f>
        <v>8</v>
      </c>
      <c r="F108" s="27" t="n">
        <f aca="false">IF($A108="","",IFERROR(VLOOKUP(D108,Schichten!$A$5:$G$24,7,FALSE()),0))</f>
        <v>7</v>
      </c>
      <c r="G108" s="28" t="n">
        <f aca="false">IF($A108="","",IF(N(E108)=0,"",$A108+VLOOKUP(D108,Schichten!$A$5:$G$24,3,FALSE())))</f>
        <v>46491.9166666667</v>
      </c>
      <c r="H108" s="28" t="n">
        <f aca="false">IF(G108="","",$A108+VLOOKUP(D108,Schichten!$A$5:$G$24,4,FALSE())+IF(VLOOKUP(D108,Schichten!$A$5:$G$24,4,FALSE())&lt;=VLOOKUP(D108,Schichten!$A$5:$G$24,3,FALSE()),1,0))</f>
        <v>46492.25</v>
      </c>
      <c r="I108" s="28" t="n">
        <f aca="false">IF($A108="","",IF(N(E107)&gt;0,H107,I107))</f>
        <v>46490.9166666667</v>
      </c>
      <c r="J108" s="27" t="n">
        <f aca="false">IF(OR(G108="",I108=""),"",(G108-I108)*24)</f>
        <v>24</v>
      </c>
      <c r="K108" s="21" t="n">
        <f aca="false">IF($A108="","",IF(N(E108)&gt;0,N(K107)+1,0))</f>
        <v>5</v>
      </c>
      <c r="L108" s="21" t="n">
        <f aca="false">IF($A108="","",IF(N(F108)&gt;0,N(L107)+1,0))</f>
        <v>1</v>
      </c>
      <c r="M108" s="21" t="str">
        <f aca="false">IF($A108="","",IF(WEEKDAY($A108,2)&lt;&gt;7,"",IF(AND(OR(G108="",N(G108)&gt;=$A108+16/24,N(H108)&lt;=$A108+6/24),OR(I108="",N(I108)&lt;=$A108+6/24)),1,0)))</f>
        <v/>
      </c>
      <c r="N108" s="26" t="str">
        <f aca="false">IF($A108="","",IF(INDEX(Muster!$C$7:$BF$7,1,MOD($A108-Einstellungen!$C$6,Einstellungen!$C$7)+1)="","-",INDEX(Muster!$C$7:$BF$7,1,MOD($A108-Einstellungen!$C$6,Einstellungen!$C$7)+1)))</f>
        <v>S</v>
      </c>
      <c r="O108" s="27" t="n">
        <f aca="false">IF($A108="","",IFERROR(VLOOKUP(N108,Schichten!$A$5:$G$24,6,FALSE()),0))</f>
        <v>8</v>
      </c>
      <c r="P108" s="27" t="n">
        <f aca="false">IF($A108="","",IFERROR(VLOOKUP(N108,Schichten!$A$5:$G$24,7,FALSE()),0))</f>
        <v>0</v>
      </c>
      <c r="Q108" s="28" t="n">
        <f aca="false">IF($A108="","",IF(N(O108)=0,"",$A108+VLOOKUP(N108,Schichten!$A$5:$G$24,3,FALSE())))</f>
        <v>46491.5833333333</v>
      </c>
      <c r="R108" s="28" t="n">
        <f aca="false">IF(Q108="","",$A108+VLOOKUP(N108,Schichten!$A$5:$G$24,4,FALSE())+IF(VLOOKUP(N108,Schichten!$A$5:$G$24,4,FALSE())&lt;=VLOOKUP(N108,Schichten!$A$5:$G$24,3,FALSE()),1,0))</f>
        <v>46491.9166666667</v>
      </c>
      <c r="S108" s="28" t="n">
        <f aca="false">IF($A108="","",IF(N(O107)&gt;0,R107,S107))</f>
        <v>46490.5833333333</v>
      </c>
      <c r="T108" s="27" t="n">
        <f aca="false">IF(OR(Q108="",S108=""),"",(Q108-S108)*24)</f>
        <v>24</v>
      </c>
      <c r="U108" s="21" t="n">
        <f aca="false">IF($A108="","",IF(N(O108)&gt;0,N(U107)+1,0))</f>
        <v>3</v>
      </c>
      <c r="V108" s="21" t="n">
        <f aca="false">IF($A108="","",IF(N(P108)&gt;0,N(V107)+1,0))</f>
        <v>0</v>
      </c>
      <c r="W108" s="21" t="str">
        <f aca="false">IF($A108="","",IF(WEEKDAY($A108,2)&lt;&gt;7,"",IF(AND(OR(Q108="",N(Q108)&gt;=$A108+16/24,N(R108)&lt;=$A108+6/24),OR(S108="",N(S108)&lt;=$A108+6/24)),1,0)))</f>
        <v/>
      </c>
      <c r="X108" s="26" t="str">
        <f aca="false">IF($A108="","",IF(INDEX(Muster!$C$8:$BF$8,1,MOD($A108-Einstellungen!$C$6,Einstellungen!$C$7)+1)="","-",INDEX(Muster!$C$8:$BF$8,1,MOD($A108-Einstellungen!$C$6,Einstellungen!$C$7)+1)))</f>
        <v>F</v>
      </c>
      <c r="Y108" s="27" t="n">
        <f aca="false">IF($A108="","",IFERROR(VLOOKUP(X108,Schichten!$A$5:$G$24,6,FALSE()),0))</f>
        <v>8</v>
      </c>
      <c r="Z108" s="27" t="n">
        <f aca="false">IF($A108="","",IFERROR(VLOOKUP(X108,Schichten!$A$5:$G$24,7,FALSE()),0))</f>
        <v>0</v>
      </c>
      <c r="AA108" s="28" t="n">
        <f aca="false">IF($A108="","",IF(N(Y108)=0,"",$A108+VLOOKUP(X108,Schichten!$A$5:$G$24,3,FALSE())))</f>
        <v>46491.25</v>
      </c>
      <c r="AB108" s="28" t="n">
        <f aca="false">IF(AA108="","",$A108+VLOOKUP(X108,Schichten!$A$5:$G$24,4,FALSE())+IF(VLOOKUP(X108,Schichten!$A$5:$G$24,4,FALSE())&lt;=VLOOKUP(X108,Schichten!$A$5:$G$24,3,FALSE()),1,0))</f>
        <v>46491.5833333333</v>
      </c>
      <c r="AC108" s="28" t="n">
        <f aca="false">IF($A108="","",IF(N(Y107)&gt;0,AB107,AC107))</f>
        <v>46489.25</v>
      </c>
      <c r="AD108" s="27" t="n">
        <f aca="false">IF(OR(AA108="",AC108=""),"",(AA108-AC108)*24)</f>
        <v>48</v>
      </c>
      <c r="AE108" s="21" t="n">
        <f aca="false">IF($A108="","",IF(N(Y108)&gt;0,N(AE107)+1,0))</f>
        <v>1</v>
      </c>
      <c r="AF108" s="21" t="n">
        <f aca="false">IF($A108="","",IF(N(Z108)&gt;0,N(AF107)+1,0))</f>
        <v>0</v>
      </c>
      <c r="AG108" s="21" t="str">
        <f aca="false">IF($A108="","",IF(WEEKDAY($A108,2)&lt;&gt;7,"",IF(AND(OR(AA108="",N(AA108)&gt;=$A108+16/24,N(AB108)&lt;=$A108+6/24),OR(AC108="",N(AC108)&lt;=$A108+6/24)),1,0)))</f>
        <v/>
      </c>
      <c r="AH108" s="26" t="str">
        <f aca="false">IF($A108="","",IF(INDEX(Muster!$C$9:$BF$9,1,MOD($A108-Einstellungen!$C$6,Einstellungen!$C$7)+1)="","-",INDEX(Muster!$C$9:$BF$9,1,MOD($A108-Einstellungen!$C$6,Einstellungen!$C$7)+1)))</f>
        <v>-</v>
      </c>
      <c r="AI108" s="27" t="n">
        <f aca="false">IF($A108="","",IFERROR(VLOOKUP(AH108,Schichten!$A$5:$G$24,6,FALSE()),0))</f>
        <v>0</v>
      </c>
      <c r="AJ108" s="27" t="n">
        <f aca="false">IF($A108="","",IFERROR(VLOOKUP(AH108,Schichten!$A$5:$G$24,7,FALSE()),0))</f>
        <v>0</v>
      </c>
      <c r="AK108" s="28" t="str">
        <f aca="false">IF($A108="","",IF(N(AI108)=0,"",$A108+VLOOKUP(AH108,Schichten!$A$5:$G$24,3,FALSE())))</f>
        <v/>
      </c>
      <c r="AL108" s="28" t="str">
        <f aca="false">IF(AK108="","",$A108+VLOOKUP(AH108,Schichten!$A$5:$G$24,4,FALSE())+IF(VLOOKUP(AH108,Schichten!$A$5:$G$24,4,FALSE())&lt;=VLOOKUP(AH108,Schichten!$A$5:$G$24,3,FALSE()),1,0))</f>
        <v/>
      </c>
      <c r="AM108" s="28" t="n">
        <f aca="false">IF($A108="","",IF(N(AI107)&gt;0,AL107,AM107))</f>
        <v>46491.25</v>
      </c>
      <c r="AN108" s="27" t="str">
        <f aca="false">IF(OR(AK108="",AM108=""),"",(AK108-AM108)*24)</f>
        <v/>
      </c>
      <c r="AO108" s="21" t="n">
        <f aca="false">IF($A108="","",IF(N(AI108)&gt;0,N(AO107)+1,0))</f>
        <v>0</v>
      </c>
      <c r="AP108" s="21" t="n">
        <f aca="false">IF($A108="","",IF(N(AJ108)&gt;0,N(AP107)+1,0))</f>
        <v>0</v>
      </c>
      <c r="AQ108" s="21" t="str">
        <f aca="false">IF($A108="","",IF(WEEKDAY($A108,2)&lt;&gt;7,"",IF(AND(OR(AK108="",N(AK108)&gt;=$A108+16/24,N(AL108)&lt;=$A108+6/24),OR(AM108="",N(AM108)&lt;=$A108+6/24)),1,0)))</f>
        <v/>
      </c>
      <c r="AR108" s="26" t="str">
        <f aca="false">IF($A108="","",IF(INDEX(Muster!$C$10:$BF$10,1,MOD($A108-Einstellungen!$C$6,Einstellungen!$C$7)+1)="","-",INDEX(Muster!$C$10:$BF$10,1,MOD($A108-Einstellungen!$C$6,Einstellungen!$C$7)+1)))</f>
        <v>-</v>
      </c>
      <c r="AS108" s="27" t="n">
        <f aca="false">IF($A108="","",IFERROR(VLOOKUP(AR108,Schichten!$A$5:$G$24,6,FALSE()),0))</f>
        <v>0</v>
      </c>
      <c r="AT108" s="27" t="n">
        <f aca="false">IF($A108="","",IFERROR(VLOOKUP(AR108,Schichten!$A$5:$G$24,7,FALSE()),0))</f>
        <v>0</v>
      </c>
      <c r="AU108" s="28" t="str">
        <f aca="false">IF($A108="","",IF(N(AS108)=0,"",$A108+VLOOKUP(AR108,Schichten!$A$5:$G$24,3,FALSE())))</f>
        <v/>
      </c>
      <c r="AV108" s="28" t="str">
        <f aca="false">IF(AU108="","",$A108+VLOOKUP(AR108,Schichten!$A$5:$G$24,4,FALSE())+IF(VLOOKUP(AR108,Schichten!$A$5:$G$24,4,FALSE())&lt;=VLOOKUP(AR108,Schichten!$A$5:$G$24,3,FALSE()),1,0))</f>
        <v/>
      </c>
      <c r="AW108" s="28" t="str">
        <f aca="false">IF($A108="","",IF(N(AS107)&gt;0,AV107,AW107))</f>
        <v/>
      </c>
      <c r="AX108" s="27" t="str">
        <f aca="false">IF(OR(AU108="",AW108=""),"",(AU108-AW108)*24)</f>
        <v/>
      </c>
      <c r="AY108" s="21" t="n">
        <f aca="false">IF($A108="","",IF(N(AS108)&gt;0,N(AY107)+1,0))</f>
        <v>0</v>
      </c>
      <c r="AZ108" s="21" t="n">
        <f aca="false">IF($A108="","",IF(N(AT108)&gt;0,N(AZ107)+1,0))</f>
        <v>0</v>
      </c>
      <c r="BA108" s="21" t="str">
        <f aca="false">IF($A108="","",IF(WEEKDAY($A108,2)&lt;&gt;7,"",IF(AND(OR(AU108="",N(AU108)&gt;=$A108+16/24,N(AV108)&lt;=$A108+6/24),OR(AW108="",N(AW108)&lt;=$A108+6/24)),1,0)))</f>
        <v/>
      </c>
    </row>
    <row r="109" customFormat="false" ht="15" hidden="false" customHeight="false" outlineLevel="0" collapsed="false">
      <c r="A109" s="25" t="n">
        <f aca="false">IF(YEAR(DATE(Einstellungen!$C$4,1,1)+104)=Einstellungen!$C$4,DATE(Einstellungen!$C$4,1,1)+104,"")</f>
        <v>46492</v>
      </c>
      <c r="B109" s="26" t="str">
        <f aca="false">IF($A109="","",CHOOSE(WEEKDAY($A109,2),"Mo","Di","Mi","Do","Fr","Sa","So"))</f>
        <v>Do</v>
      </c>
      <c r="C109" s="26" t="n">
        <f aca="false">IF($A109="","",MONTH($A109))</f>
        <v>4</v>
      </c>
      <c r="D109" s="26" t="str">
        <f aca="false">IF($A109="","",IF(INDEX(Muster!$C$6:$BF$6,1,MOD($A109-Einstellungen!$C$6,Einstellungen!$C$7)+1)="","-",INDEX(Muster!$C$6:$BF$6,1,MOD($A109-Einstellungen!$C$6,Einstellungen!$C$7)+1)))</f>
        <v>N</v>
      </c>
      <c r="E109" s="27" t="n">
        <f aca="false">IF($A109="","",IFERROR(VLOOKUP(D109,Schichten!$A$5:$G$24,6,FALSE()),0))</f>
        <v>8</v>
      </c>
      <c r="F109" s="27" t="n">
        <f aca="false">IF($A109="","",IFERROR(VLOOKUP(D109,Schichten!$A$5:$G$24,7,FALSE()),0))</f>
        <v>7</v>
      </c>
      <c r="G109" s="28" t="n">
        <f aca="false">IF($A109="","",IF(N(E109)=0,"",$A109+VLOOKUP(D109,Schichten!$A$5:$G$24,3,FALSE())))</f>
        <v>46492.9166666667</v>
      </c>
      <c r="H109" s="28" t="n">
        <f aca="false">IF(G109="","",$A109+VLOOKUP(D109,Schichten!$A$5:$G$24,4,FALSE())+IF(VLOOKUP(D109,Schichten!$A$5:$G$24,4,FALSE())&lt;=VLOOKUP(D109,Schichten!$A$5:$G$24,3,FALSE()),1,0))</f>
        <v>46493.25</v>
      </c>
      <c r="I109" s="28" t="n">
        <f aca="false">IF($A109="","",IF(N(E108)&gt;0,H108,I108))</f>
        <v>46492.25</v>
      </c>
      <c r="J109" s="27" t="n">
        <f aca="false">IF(OR(G109="",I109=""),"",(G109-I109)*24)</f>
        <v>16</v>
      </c>
      <c r="K109" s="21" t="n">
        <f aca="false">IF($A109="","",IF(N(E109)&gt;0,N(K108)+1,0))</f>
        <v>6</v>
      </c>
      <c r="L109" s="21" t="n">
        <f aca="false">IF($A109="","",IF(N(F109)&gt;0,N(L108)+1,0))</f>
        <v>2</v>
      </c>
      <c r="M109" s="21" t="str">
        <f aca="false">IF($A109="","",IF(WEEKDAY($A109,2)&lt;&gt;7,"",IF(AND(OR(G109="",N(G109)&gt;=$A109+16/24,N(H109)&lt;=$A109+6/24),OR(I109="",N(I109)&lt;=$A109+6/24)),1,0)))</f>
        <v/>
      </c>
      <c r="N109" s="26" t="str">
        <f aca="false">IF($A109="","",IF(INDEX(Muster!$C$7:$BF$7,1,MOD($A109-Einstellungen!$C$6,Einstellungen!$C$7)+1)="","-",INDEX(Muster!$C$7:$BF$7,1,MOD($A109-Einstellungen!$C$6,Einstellungen!$C$7)+1)))</f>
        <v>S</v>
      </c>
      <c r="O109" s="27" t="n">
        <f aca="false">IF($A109="","",IFERROR(VLOOKUP(N109,Schichten!$A$5:$G$24,6,FALSE()),0))</f>
        <v>8</v>
      </c>
      <c r="P109" s="27" t="n">
        <f aca="false">IF($A109="","",IFERROR(VLOOKUP(N109,Schichten!$A$5:$G$24,7,FALSE()),0))</f>
        <v>0</v>
      </c>
      <c r="Q109" s="28" t="n">
        <f aca="false">IF($A109="","",IF(N(O109)=0,"",$A109+VLOOKUP(N109,Schichten!$A$5:$G$24,3,FALSE())))</f>
        <v>46492.5833333333</v>
      </c>
      <c r="R109" s="28" t="n">
        <f aca="false">IF(Q109="","",$A109+VLOOKUP(N109,Schichten!$A$5:$G$24,4,FALSE())+IF(VLOOKUP(N109,Schichten!$A$5:$G$24,4,FALSE())&lt;=VLOOKUP(N109,Schichten!$A$5:$G$24,3,FALSE()),1,0))</f>
        <v>46492.9166666667</v>
      </c>
      <c r="S109" s="28" t="n">
        <f aca="false">IF($A109="","",IF(N(O108)&gt;0,R108,S108))</f>
        <v>46491.9166666667</v>
      </c>
      <c r="T109" s="27" t="n">
        <f aca="false">IF(OR(Q109="",S109=""),"",(Q109-S109)*24)</f>
        <v>16</v>
      </c>
      <c r="U109" s="21" t="n">
        <f aca="false">IF($A109="","",IF(N(O109)&gt;0,N(U108)+1,0))</f>
        <v>4</v>
      </c>
      <c r="V109" s="21" t="n">
        <f aca="false">IF($A109="","",IF(N(P109)&gt;0,N(V108)+1,0))</f>
        <v>0</v>
      </c>
      <c r="W109" s="21" t="str">
        <f aca="false">IF($A109="","",IF(WEEKDAY($A109,2)&lt;&gt;7,"",IF(AND(OR(Q109="",N(Q109)&gt;=$A109+16/24,N(R109)&lt;=$A109+6/24),OR(S109="",N(S109)&lt;=$A109+6/24)),1,0)))</f>
        <v/>
      </c>
      <c r="X109" s="26" t="str">
        <f aca="false">IF($A109="","",IF(INDEX(Muster!$C$8:$BF$8,1,MOD($A109-Einstellungen!$C$6,Einstellungen!$C$7)+1)="","-",INDEX(Muster!$C$8:$BF$8,1,MOD($A109-Einstellungen!$C$6,Einstellungen!$C$7)+1)))</f>
        <v>F</v>
      </c>
      <c r="Y109" s="27" t="n">
        <f aca="false">IF($A109="","",IFERROR(VLOOKUP(X109,Schichten!$A$5:$G$24,6,FALSE()),0))</f>
        <v>8</v>
      </c>
      <c r="Z109" s="27" t="n">
        <f aca="false">IF($A109="","",IFERROR(VLOOKUP(X109,Schichten!$A$5:$G$24,7,FALSE()),0))</f>
        <v>0</v>
      </c>
      <c r="AA109" s="28" t="n">
        <f aca="false">IF($A109="","",IF(N(Y109)=0,"",$A109+VLOOKUP(X109,Schichten!$A$5:$G$24,3,FALSE())))</f>
        <v>46492.25</v>
      </c>
      <c r="AB109" s="28" t="n">
        <f aca="false">IF(AA109="","",$A109+VLOOKUP(X109,Schichten!$A$5:$G$24,4,FALSE())+IF(VLOOKUP(X109,Schichten!$A$5:$G$24,4,FALSE())&lt;=VLOOKUP(X109,Schichten!$A$5:$G$24,3,FALSE()),1,0))</f>
        <v>46492.5833333333</v>
      </c>
      <c r="AC109" s="28" t="n">
        <f aca="false">IF($A109="","",IF(N(Y108)&gt;0,AB108,AC108))</f>
        <v>46491.5833333333</v>
      </c>
      <c r="AD109" s="27" t="n">
        <f aca="false">IF(OR(AA109="",AC109=""),"",(AA109-AC109)*24)</f>
        <v>16</v>
      </c>
      <c r="AE109" s="21" t="n">
        <f aca="false">IF($A109="","",IF(N(Y109)&gt;0,N(AE108)+1,0))</f>
        <v>2</v>
      </c>
      <c r="AF109" s="21" t="n">
        <f aca="false">IF($A109="","",IF(N(Z109)&gt;0,N(AF108)+1,0))</f>
        <v>0</v>
      </c>
      <c r="AG109" s="21" t="str">
        <f aca="false">IF($A109="","",IF(WEEKDAY($A109,2)&lt;&gt;7,"",IF(AND(OR(AA109="",N(AA109)&gt;=$A109+16/24,N(AB109)&lt;=$A109+6/24),OR(AC109="",N(AC109)&lt;=$A109+6/24)),1,0)))</f>
        <v/>
      </c>
      <c r="AH109" s="26" t="str">
        <f aca="false">IF($A109="","",IF(INDEX(Muster!$C$9:$BF$9,1,MOD($A109-Einstellungen!$C$6,Einstellungen!$C$7)+1)="","-",INDEX(Muster!$C$9:$BF$9,1,MOD($A109-Einstellungen!$C$6,Einstellungen!$C$7)+1)))</f>
        <v>-</v>
      </c>
      <c r="AI109" s="27" t="n">
        <f aca="false">IF($A109="","",IFERROR(VLOOKUP(AH109,Schichten!$A$5:$G$24,6,FALSE()),0))</f>
        <v>0</v>
      </c>
      <c r="AJ109" s="27" t="n">
        <f aca="false">IF($A109="","",IFERROR(VLOOKUP(AH109,Schichten!$A$5:$G$24,7,FALSE()),0))</f>
        <v>0</v>
      </c>
      <c r="AK109" s="28" t="str">
        <f aca="false">IF($A109="","",IF(N(AI109)=0,"",$A109+VLOOKUP(AH109,Schichten!$A$5:$G$24,3,FALSE())))</f>
        <v/>
      </c>
      <c r="AL109" s="28" t="str">
        <f aca="false">IF(AK109="","",$A109+VLOOKUP(AH109,Schichten!$A$5:$G$24,4,FALSE())+IF(VLOOKUP(AH109,Schichten!$A$5:$G$24,4,FALSE())&lt;=VLOOKUP(AH109,Schichten!$A$5:$G$24,3,FALSE()),1,0))</f>
        <v/>
      </c>
      <c r="AM109" s="28" t="n">
        <f aca="false">IF($A109="","",IF(N(AI108)&gt;0,AL108,AM108))</f>
        <v>46491.25</v>
      </c>
      <c r="AN109" s="27" t="str">
        <f aca="false">IF(OR(AK109="",AM109=""),"",(AK109-AM109)*24)</f>
        <v/>
      </c>
      <c r="AO109" s="21" t="n">
        <f aca="false">IF($A109="","",IF(N(AI109)&gt;0,N(AO108)+1,0))</f>
        <v>0</v>
      </c>
      <c r="AP109" s="21" t="n">
        <f aca="false">IF($A109="","",IF(N(AJ109)&gt;0,N(AP108)+1,0))</f>
        <v>0</v>
      </c>
      <c r="AQ109" s="21" t="str">
        <f aca="false">IF($A109="","",IF(WEEKDAY($A109,2)&lt;&gt;7,"",IF(AND(OR(AK109="",N(AK109)&gt;=$A109+16/24,N(AL109)&lt;=$A109+6/24),OR(AM109="",N(AM109)&lt;=$A109+6/24)),1,0)))</f>
        <v/>
      </c>
      <c r="AR109" s="26" t="str">
        <f aca="false">IF($A109="","",IF(INDEX(Muster!$C$10:$BF$10,1,MOD($A109-Einstellungen!$C$6,Einstellungen!$C$7)+1)="","-",INDEX(Muster!$C$10:$BF$10,1,MOD($A109-Einstellungen!$C$6,Einstellungen!$C$7)+1)))</f>
        <v>-</v>
      </c>
      <c r="AS109" s="27" t="n">
        <f aca="false">IF($A109="","",IFERROR(VLOOKUP(AR109,Schichten!$A$5:$G$24,6,FALSE()),0))</f>
        <v>0</v>
      </c>
      <c r="AT109" s="27" t="n">
        <f aca="false">IF($A109="","",IFERROR(VLOOKUP(AR109,Schichten!$A$5:$G$24,7,FALSE()),0))</f>
        <v>0</v>
      </c>
      <c r="AU109" s="28" t="str">
        <f aca="false">IF($A109="","",IF(N(AS109)=0,"",$A109+VLOOKUP(AR109,Schichten!$A$5:$G$24,3,FALSE())))</f>
        <v/>
      </c>
      <c r="AV109" s="28" t="str">
        <f aca="false">IF(AU109="","",$A109+VLOOKUP(AR109,Schichten!$A$5:$G$24,4,FALSE())+IF(VLOOKUP(AR109,Schichten!$A$5:$G$24,4,FALSE())&lt;=VLOOKUP(AR109,Schichten!$A$5:$G$24,3,FALSE()),1,0))</f>
        <v/>
      </c>
      <c r="AW109" s="28" t="str">
        <f aca="false">IF($A109="","",IF(N(AS108)&gt;0,AV108,AW108))</f>
        <v/>
      </c>
      <c r="AX109" s="27" t="str">
        <f aca="false">IF(OR(AU109="",AW109=""),"",(AU109-AW109)*24)</f>
        <v/>
      </c>
      <c r="AY109" s="21" t="n">
        <f aca="false">IF($A109="","",IF(N(AS109)&gt;0,N(AY108)+1,0))</f>
        <v>0</v>
      </c>
      <c r="AZ109" s="21" t="n">
        <f aca="false">IF($A109="","",IF(N(AT109)&gt;0,N(AZ108)+1,0))</f>
        <v>0</v>
      </c>
      <c r="BA109" s="21" t="str">
        <f aca="false">IF($A109="","",IF(WEEKDAY($A109,2)&lt;&gt;7,"",IF(AND(OR(AU109="",N(AU109)&gt;=$A109+16/24,N(AV109)&lt;=$A109+6/24),OR(AW109="",N(AW109)&lt;=$A109+6/24)),1,0)))</f>
        <v/>
      </c>
    </row>
    <row r="110" customFormat="false" ht="15" hidden="false" customHeight="false" outlineLevel="0" collapsed="false">
      <c r="A110" s="25" t="n">
        <f aca="false">IF(YEAR(DATE(Einstellungen!$C$4,1,1)+105)=Einstellungen!$C$4,DATE(Einstellungen!$C$4,1,1)+105,"")</f>
        <v>46493</v>
      </c>
      <c r="B110" s="26" t="str">
        <f aca="false">IF($A110="","",CHOOSE(WEEKDAY($A110,2),"Mo","Di","Mi","Do","Fr","Sa","So"))</f>
        <v>Fr</v>
      </c>
      <c r="C110" s="26" t="n">
        <f aca="false">IF($A110="","",MONTH($A110))</f>
        <v>4</v>
      </c>
      <c r="D110" s="26" t="str">
        <f aca="false">IF($A110="","",IF(INDEX(Muster!$C$6:$BF$6,1,MOD($A110-Einstellungen!$C$6,Einstellungen!$C$7)+1)="","-",INDEX(Muster!$C$6:$BF$6,1,MOD($A110-Einstellungen!$C$6,Einstellungen!$C$7)+1)))</f>
        <v>-</v>
      </c>
      <c r="E110" s="27" t="n">
        <f aca="false">IF($A110="","",IFERROR(VLOOKUP(D110,Schichten!$A$5:$G$24,6,FALSE()),0))</f>
        <v>0</v>
      </c>
      <c r="F110" s="27" t="n">
        <f aca="false">IF($A110="","",IFERROR(VLOOKUP(D110,Schichten!$A$5:$G$24,7,FALSE()),0))</f>
        <v>0</v>
      </c>
      <c r="G110" s="28" t="str">
        <f aca="false">IF($A110="","",IF(N(E110)=0,"",$A110+VLOOKUP(D110,Schichten!$A$5:$G$24,3,FALSE())))</f>
        <v/>
      </c>
      <c r="H110" s="28" t="str">
        <f aca="false">IF(G110="","",$A110+VLOOKUP(D110,Schichten!$A$5:$G$24,4,FALSE())+IF(VLOOKUP(D110,Schichten!$A$5:$G$24,4,FALSE())&lt;=VLOOKUP(D110,Schichten!$A$5:$G$24,3,FALSE()),1,0))</f>
        <v/>
      </c>
      <c r="I110" s="28" t="n">
        <f aca="false">IF($A110="","",IF(N(E109)&gt;0,H109,I109))</f>
        <v>46493.25</v>
      </c>
      <c r="J110" s="27" t="str">
        <f aca="false">IF(OR(G110="",I110=""),"",(G110-I110)*24)</f>
        <v/>
      </c>
      <c r="K110" s="21" t="n">
        <f aca="false">IF($A110="","",IF(N(E110)&gt;0,N(K109)+1,0))</f>
        <v>0</v>
      </c>
      <c r="L110" s="21" t="n">
        <f aca="false">IF($A110="","",IF(N(F110)&gt;0,N(L109)+1,0))</f>
        <v>0</v>
      </c>
      <c r="M110" s="21" t="str">
        <f aca="false">IF($A110="","",IF(WEEKDAY($A110,2)&lt;&gt;7,"",IF(AND(OR(G110="",N(G110)&gt;=$A110+16/24,N(H110)&lt;=$A110+6/24),OR(I110="",N(I110)&lt;=$A110+6/24)),1,0)))</f>
        <v/>
      </c>
      <c r="N110" s="26" t="str">
        <f aca="false">IF($A110="","",IF(INDEX(Muster!$C$7:$BF$7,1,MOD($A110-Einstellungen!$C$6,Einstellungen!$C$7)+1)="","-",INDEX(Muster!$C$7:$BF$7,1,MOD($A110-Einstellungen!$C$6,Einstellungen!$C$7)+1)))</f>
        <v>N</v>
      </c>
      <c r="O110" s="27" t="n">
        <f aca="false">IF($A110="","",IFERROR(VLOOKUP(N110,Schichten!$A$5:$G$24,6,FALSE()),0))</f>
        <v>8</v>
      </c>
      <c r="P110" s="27" t="n">
        <f aca="false">IF($A110="","",IFERROR(VLOOKUP(N110,Schichten!$A$5:$G$24,7,FALSE()),0))</f>
        <v>7</v>
      </c>
      <c r="Q110" s="28" t="n">
        <f aca="false">IF($A110="","",IF(N(O110)=0,"",$A110+VLOOKUP(N110,Schichten!$A$5:$G$24,3,FALSE())))</f>
        <v>46493.9166666667</v>
      </c>
      <c r="R110" s="28" t="n">
        <f aca="false">IF(Q110="","",$A110+VLOOKUP(N110,Schichten!$A$5:$G$24,4,FALSE())+IF(VLOOKUP(N110,Schichten!$A$5:$G$24,4,FALSE())&lt;=VLOOKUP(N110,Schichten!$A$5:$G$24,3,FALSE()),1,0))</f>
        <v>46494.25</v>
      </c>
      <c r="S110" s="28" t="n">
        <f aca="false">IF($A110="","",IF(N(O109)&gt;0,R109,S109))</f>
        <v>46492.9166666667</v>
      </c>
      <c r="T110" s="27" t="n">
        <f aca="false">IF(OR(Q110="",S110=""),"",(Q110-S110)*24)</f>
        <v>24</v>
      </c>
      <c r="U110" s="21" t="n">
        <f aca="false">IF($A110="","",IF(N(O110)&gt;0,N(U109)+1,0))</f>
        <v>5</v>
      </c>
      <c r="V110" s="21" t="n">
        <f aca="false">IF($A110="","",IF(N(P110)&gt;0,N(V109)+1,0))</f>
        <v>1</v>
      </c>
      <c r="W110" s="21" t="str">
        <f aca="false">IF($A110="","",IF(WEEKDAY($A110,2)&lt;&gt;7,"",IF(AND(OR(Q110="",N(Q110)&gt;=$A110+16/24,N(R110)&lt;=$A110+6/24),OR(S110="",N(S110)&lt;=$A110+6/24)),1,0)))</f>
        <v/>
      </c>
      <c r="X110" s="26" t="str">
        <f aca="false">IF($A110="","",IF(INDEX(Muster!$C$8:$BF$8,1,MOD($A110-Einstellungen!$C$6,Einstellungen!$C$7)+1)="","-",INDEX(Muster!$C$8:$BF$8,1,MOD($A110-Einstellungen!$C$6,Einstellungen!$C$7)+1)))</f>
        <v>S</v>
      </c>
      <c r="Y110" s="27" t="n">
        <f aca="false">IF($A110="","",IFERROR(VLOOKUP(X110,Schichten!$A$5:$G$24,6,FALSE()),0))</f>
        <v>8</v>
      </c>
      <c r="Z110" s="27" t="n">
        <f aca="false">IF($A110="","",IFERROR(VLOOKUP(X110,Schichten!$A$5:$G$24,7,FALSE()),0))</f>
        <v>0</v>
      </c>
      <c r="AA110" s="28" t="n">
        <f aca="false">IF($A110="","",IF(N(Y110)=0,"",$A110+VLOOKUP(X110,Schichten!$A$5:$G$24,3,FALSE())))</f>
        <v>46493.5833333333</v>
      </c>
      <c r="AB110" s="28" t="n">
        <f aca="false">IF(AA110="","",$A110+VLOOKUP(X110,Schichten!$A$5:$G$24,4,FALSE())+IF(VLOOKUP(X110,Schichten!$A$5:$G$24,4,FALSE())&lt;=VLOOKUP(X110,Schichten!$A$5:$G$24,3,FALSE()),1,0))</f>
        <v>46493.9166666667</v>
      </c>
      <c r="AC110" s="28" t="n">
        <f aca="false">IF($A110="","",IF(N(Y109)&gt;0,AB109,AC109))</f>
        <v>46492.5833333333</v>
      </c>
      <c r="AD110" s="27" t="n">
        <f aca="false">IF(OR(AA110="",AC110=""),"",(AA110-AC110)*24)</f>
        <v>24</v>
      </c>
      <c r="AE110" s="21" t="n">
        <f aca="false">IF($A110="","",IF(N(Y110)&gt;0,N(AE109)+1,0))</f>
        <v>3</v>
      </c>
      <c r="AF110" s="21" t="n">
        <f aca="false">IF($A110="","",IF(N(Z110)&gt;0,N(AF109)+1,0))</f>
        <v>0</v>
      </c>
      <c r="AG110" s="21" t="str">
        <f aca="false">IF($A110="","",IF(WEEKDAY($A110,2)&lt;&gt;7,"",IF(AND(OR(AA110="",N(AA110)&gt;=$A110+16/24,N(AB110)&lt;=$A110+6/24),OR(AC110="",N(AC110)&lt;=$A110+6/24)),1,0)))</f>
        <v/>
      </c>
      <c r="AH110" s="26" t="str">
        <f aca="false">IF($A110="","",IF(INDEX(Muster!$C$9:$BF$9,1,MOD($A110-Einstellungen!$C$6,Einstellungen!$C$7)+1)="","-",INDEX(Muster!$C$9:$BF$9,1,MOD($A110-Einstellungen!$C$6,Einstellungen!$C$7)+1)))</f>
        <v>F</v>
      </c>
      <c r="AI110" s="27" t="n">
        <f aca="false">IF($A110="","",IFERROR(VLOOKUP(AH110,Schichten!$A$5:$G$24,6,FALSE()),0))</f>
        <v>8</v>
      </c>
      <c r="AJ110" s="27" t="n">
        <f aca="false">IF($A110="","",IFERROR(VLOOKUP(AH110,Schichten!$A$5:$G$24,7,FALSE()),0))</f>
        <v>0</v>
      </c>
      <c r="AK110" s="28" t="n">
        <f aca="false">IF($A110="","",IF(N(AI110)=0,"",$A110+VLOOKUP(AH110,Schichten!$A$5:$G$24,3,FALSE())))</f>
        <v>46493.25</v>
      </c>
      <c r="AL110" s="28" t="n">
        <f aca="false">IF(AK110="","",$A110+VLOOKUP(AH110,Schichten!$A$5:$G$24,4,FALSE())+IF(VLOOKUP(AH110,Schichten!$A$5:$G$24,4,FALSE())&lt;=VLOOKUP(AH110,Schichten!$A$5:$G$24,3,FALSE()),1,0))</f>
        <v>46493.5833333333</v>
      </c>
      <c r="AM110" s="28" t="n">
        <f aca="false">IF($A110="","",IF(N(AI109)&gt;0,AL109,AM109))</f>
        <v>46491.25</v>
      </c>
      <c r="AN110" s="27" t="n">
        <f aca="false">IF(OR(AK110="",AM110=""),"",(AK110-AM110)*24)</f>
        <v>48</v>
      </c>
      <c r="AO110" s="21" t="n">
        <f aca="false">IF($A110="","",IF(N(AI110)&gt;0,N(AO109)+1,0))</f>
        <v>1</v>
      </c>
      <c r="AP110" s="21" t="n">
        <f aca="false">IF($A110="","",IF(N(AJ110)&gt;0,N(AP109)+1,0))</f>
        <v>0</v>
      </c>
      <c r="AQ110" s="21" t="str">
        <f aca="false">IF($A110="","",IF(WEEKDAY($A110,2)&lt;&gt;7,"",IF(AND(OR(AK110="",N(AK110)&gt;=$A110+16/24,N(AL110)&lt;=$A110+6/24),OR(AM110="",N(AM110)&lt;=$A110+6/24)),1,0)))</f>
        <v/>
      </c>
      <c r="AR110" s="26" t="str">
        <f aca="false">IF($A110="","",IF(INDEX(Muster!$C$10:$BF$10,1,MOD($A110-Einstellungen!$C$6,Einstellungen!$C$7)+1)="","-",INDEX(Muster!$C$10:$BF$10,1,MOD($A110-Einstellungen!$C$6,Einstellungen!$C$7)+1)))</f>
        <v>-</v>
      </c>
      <c r="AS110" s="27" t="n">
        <f aca="false">IF($A110="","",IFERROR(VLOOKUP(AR110,Schichten!$A$5:$G$24,6,FALSE()),0))</f>
        <v>0</v>
      </c>
      <c r="AT110" s="27" t="n">
        <f aca="false">IF($A110="","",IFERROR(VLOOKUP(AR110,Schichten!$A$5:$G$24,7,FALSE()),0))</f>
        <v>0</v>
      </c>
      <c r="AU110" s="28" t="str">
        <f aca="false">IF($A110="","",IF(N(AS110)=0,"",$A110+VLOOKUP(AR110,Schichten!$A$5:$G$24,3,FALSE())))</f>
        <v/>
      </c>
      <c r="AV110" s="28" t="str">
        <f aca="false">IF(AU110="","",$A110+VLOOKUP(AR110,Schichten!$A$5:$G$24,4,FALSE())+IF(VLOOKUP(AR110,Schichten!$A$5:$G$24,4,FALSE())&lt;=VLOOKUP(AR110,Schichten!$A$5:$G$24,3,FALSE()),1,0))</f>
        <v/>
      </c>
      <c r="AW110" s="28" t="str">
        <f aca="false">IF($A110="","",IF(N(AS109)&gt;0,AV109,AW109))</f>
        <v/>
      </c>
      <c r="AX110" s="27" t="str">
        <f aca="false">IF(OR(AU110="",AW110=""),"",(AU110-AW110)*24)</f>
        <v/>
      </c>
      <c r="AY110" s="21" t="n">
        <f aca="false">IF($A110="","",IF(N(AS110)&gt;0,N(AY109)+1,0))</f>
        <v>0</v>
      </c>
      <c r="AZ110" s="21" t="n">
        <f aca="false">IF($A110="","",IF(N(AT110)&gt;0,N(AZ109)+1,0))</f>
        <v>0</v>
      </c>
      <c r="BA110" s="21" t="str">
        <f aca="false">IF($A110="","",IF(WEEKDAY($A110,2)&lt;&gt;7,"",IF(AND(OR(AU110="",N(AU110)&gt;=$A110+16/24,N(AV110)&lt;=$A110+6/24),OR(AW110="",N(AW110)&lt;=$A110+6/24)),1,0)))</f>
        <v/>
      </c>
    </row>
    <row r="111" customFormat="false" ht="15" hidden="false" customHeight="false" outlineLevel="0" collapsed="false">
      <c r="A111" s="25" t="n">
        <f aca="false">IF(YEAR(DATE(Einstellungen!$C$4,1,1)+106)=Einstellungen!$C$4,DATE(Einstellungen!$C$4,1,1)+106,"")</f>
        <v>46494</v>
      </c>
      <c r="B111" s="26" t="str">
        <f aca="false">IF($A111="","",CHOOSE(WEEKDAY($A111,2),"Mo","Di","Mi","Do","Fr","Sa","So"))</f>
        <v>Sa</v>
      </c>
      <c r="C111" s="26" t="n">
        <f aca="false">IF($A111="","",MONTH($A111))</f>
        <v>4</v>
      </c>
      <c r="D111" s="26" t="str">
        <f aca="false">IF($A111="","",IF(INDEX(Muster!$C$6:$BF$6,1,MOD($A111-Einstellungen!$C$6,Einstellungen!$C$7)+1)="","-",INDEX(Muster!$C$6:$BF$6,1,MOD($A111-Einstellungen!$C$6,Einstellungen!$C$7)+1)))</f>
        <v>-</v>
      </c>
      <c r="E111" s="27" t="n">
        <f aca="false">IF($A111="","",IFERROR(VLOOKUP(D111,Schichten!$A$5:$G$24,6,FALSE()),0))</f>
        <v>0</v>
      </c>
      <c r="F111" s="27" t="n">
        <f aca="false">IF($A111="","",IFERROR(VLOOKUP(D111,Schichten!$A$5:$G$24,7,FALSE()),0))</f>
        <v>0</v>
      </c>
      <c r="G111" s="28" t="str">
        <f aca="false">IF($A111="","",IF(N(E111)=0,"",$A111+VLOOKUP(D111,Schichten!$A$5:$G$24,3,FALSE())))</f>
        <v/>
      </c>
      <c r="H111" s="28" t="str">
        <f aca="false">IF(G111="","",$A111+VLOOKUP(D111,Schichten!$A$5:$G$24,4,FALSE())+IF(VLOOKUP(D111,Schichten!$A$5:$G$24,4,FALSE())&lt;=VLOOKUP(D111,Schichten!$A$5:$G$24,3,FALSE()),1,0))</f>
        <v/>
      </c>
      <c r="I111" s="28" t="n">
        <f aca="false">IF($A111="","",IF(N(E110)&gt;0,H110,I110))</f>
        <v>46493.25</v>
      </c>
      <c r="J111" s="27" t="str">
        <f aca="false">IF(OR(G111="",I111=""),"",(G111-I111)*24)</f>
        <v/>
      </c>
      <c r="K111" s="21" t="n">
        <f aca="false">IF($A111="","",IF(N(E111)&gt;0,N(K110)+1,0))</f>
        <v>0</v>
      </c>
      <c r="L111" s="21" t="n">
        <f aca="false">IF($A111="","",IF(N(F111)&gt;0,N(L110)+1,0))</f>
        <v>0</v>
      </c>
      <c r="M111" s="21" t="str">
        <f aca="false">IF($A111="","",IF(WEEKDAY($A111,2)&lt;&gt;7,"",IF(AND(OR(G111="",N(G111)&gt;=$A111+16/24,N(H111)&lt;=$A111+6/24),OR(I111="",N(I111)&lt;=$A111+6/24)),1,0)))</f>
        <v/>
      </c>
      <c r="N111" s="26" t="str">
        <f aca="false">IF($A111="","",IF(INDEX(Muster!$C$7:$BF$7,1,MOD($A111-Einstellungen!$C$6,Einstellungen!$C$7)+1)="","-",INDEX(Muster!$C$7:$BF$7,1,MOD($A111-Einstellungen!$C$6,Einstellungen!$C$7)+1)))</f>
        <v>N</v>
      </c>
      <c r="O111" s="27" t="n">
        <f aca="false">IF($A111="","",IFERROR(VLOOKUP(N111,Schichten!$A$5:$G$24,6,FALSE()),0))</f>
        <v>8</v>
      </c>
      <c r="P111" s="27" t="n">
        <f aca="false">IF($A111="","",IFERROR(VLOOKUP(N111,Schichten!$A$5:$G$24,7,FALSE()),0))</f>
        <v>7</v>
      </c>
      <c r="Q111" s="28" t="n">
        <f aca="false">IF($A111="","",IF(N(O111)=0,"",$A111+VLOOKUP(N111,Schichten!$A$5:$G$24,3,FALSE())))</f>
        <v>46494.9166666667</v>
      </c>
      <c r="R111" s="28" t="n">
        <f aca="false">IF(Q111="","",$A111+VLOOKUP(N111,Schichten!$A$5:$G$24,4,FALSE())+IF(VLOOKUP(N111,Schichten!$A$5:$G$24,4,FALSE())&lt;=VLOOKUP(N111,Schichten!$A$5:$G$24,3,FALSE()),1,0))</f>
        <v>46495.25</v>
      </c>
      <c r="S111" s="28" t="n">
        <f aca="false">IF($A111="","",IF(N(O110)&gt;0,R110,S110))</f>
        <v>46494.25</v>
      </c>
      <c r="T111" s="27" t="n">
        <f aca="false">IF(OR(Q111="",S111=""),"",(Q111-S111)*24)</f>
        <v>16</v>
      </c>
      <c r="U111" s="21" t="n">
        <f aca="false">IF($A111="","",IF(N(O111)&gt;0,N(U110)+1,0))</f>
        <v>6</v>
      </c>
      <c r="V111" s="21" t="n">
        <f aca="false">IF($A111="","",IF(N(P111)&gt;0,N(V110)+1,0))</f>
        <v>2</v>
      </c>
      <c r="W111" s="21" t="str">
        <f aca="false">IF($A111="","",IF(WEEKDAY($A111,2)&lt;&gt;7,"",IF(AND(OR(Q111="",N(Q111)&gt;=$A111+16/24,N(R111)&lt;=$A111+6/24),OR(S111="",N(S111)&lt;=$A111+6/24)),1,0)))</f>
        <v/>
      </c>
      <c r="X111" s="26" t="str">
        <f aca="false">IF($A111="","",IF(INDEX(Muster!$C$8:$BF$8,1,MOD($A111-Einstellungen!$C$6,Einstellungen!$C$7)+1)="","-",INDEX(Muster!$C$8:$BF$8,1,MOD($A111-Einstellungen!$C$6,Einstellungen!$C$7)+1)))</f>
        <v>S</v>
      </c>
      <c r="Y111" s="27" t="n">
        <f aca="false">IF($A111="","",IFERROR(VLOOKUP(X111,Schichten!$A$5:$G$24,6,FALSE()),0))</f>
        <v>8</v>
      </c>
      <c r="Z111" s="27" t="n">
        <f aca="false">IF($A111="","",IFERROR(VLOOKUP(X111,Schichten!$A$5:$G$24,7,FALSE()),0))</f>
        <v>0</v>
      </c>
      <c r="AA111" s="28" t="n">
        <f aca="false">IF($A111="","",IF(N(Y111)=0,"",$A111+VLOOKUP(X111,Schichten!$A$5:$G$24,3,FALSE())))</f>
        <v>46494.5833333333</v>
      </c>
      <c r="AB111" s="28" t="n">
        <f aca="false">IF(AA111="","",$A111+VLOOKUP(X111,Schichten!$A$5:$G$24,4,FALSE())+IF(VLOOKUP(X111,Schichten!$A$5:$G$24,4,FALSE())&lt;=VLOOKUP(X111,Schichten!$A$5:$G$24,3,FALSE()),1,0))</f>
        <v>46494.9166666667</v>
      </c>
      <c r="AC111" s="28" t="n">
        <f aca="false">IF($A111="","",IF(N(Y110)&gt;0,AB110,AC110))</f>
        <v>46493.9166666667</v>
      </c>
      <c r="AD111" s="27" t="n">
        <f aca="false">IF(OR(AA111="",AC111=""),"",(AA111-AC111)*24)</f>
        <v>16</v>
      </c>
      <c r="AE111" s="21" t="n">
        <f aca="false">IF($A111="","",IF(N(Y111)&gt;0,N(AE110)+1,0))</f>
        <v>4</v>
      </c>
      <c r="AF111" s="21" t="n">
        <f aca="false">IF($A111="","",IF(N(Z111)&gt;0,N(AF110)+1,0))</f>
        <v>0</v>
      </c>
      <c r="AG111" s="21" t="str">
        <f aca="false">IF($A111="","",IF(WEEKDAY($A111,2)&lt;&gt;7,"",IF(AND(OR(AA111="",N(AA111)&gt;=$A111+16/24,N(AB111)&lt;=$A111+6/24),OR(AC111="",N(AC111)&lt;=$A111+6/24)),1,0)))</f>
        <v/>
      </c>
      <c r="AH111" s="26" t="str">
        <f aca="false">IF($A111="","",IF(INDEX(Muster!$C$9:$BF$9,1,MOD($A111-Einstellungen!$C$6,Einstellungen!$C$7)+1)="","-",INDEX(Muster!$C$9:$BF$9,1,MOD($A111-Einstellungen!$C$6,Einstellungen!$C$7)+1)))</f>
        <v>F</v>
      </c>
      <c r="AI111" s="27" t="n">
        <f aca="false">IF($A111="","",IFERROR(VLOOKUP(AH111,Schichten!$A$5:$G$24,6,FALSE()),0))</f>
        <v>8</v>
      </c>
      <c r="AJ111" s="27" t="n">
        <f aca="false">IF($A111="","",IFERROR(VLOOKUP(AH111,Schichten!$A$5:$G$24,7,FALSE()),0))</f>
        <v>0</v>
      </c>
      <c r="AK111" s="28" t="n">
        <f aca="false">IF($A111="","",IF(N(AI111)=0,"",$A111+VLOOKUP(AH111,Schichten!$A$5:$G$24,3,FALSE())))</f>
        <v>46494.25</v>
      </c>
      <c r="AL111" s="28" t="n">
        <f aca="false">IF(AK111="","",$A111+VLOOKUP(AH111,Schichten!$A$5:$G$24,4,FALSE())+IF(VLOOKUP(AH111,Schichten!$A$5:$G$24,4,FALSE())&lt;=VLOOKUP(AH111,Schichten!$A$5:$G$24,3,FALSE()),1,0))</f>
        <v>46494.5833333333</v>
      </c>
      <c r="AM111" s="28" t="n">
        <f aca="false">IF($A111="","",IF(N(AI110)&gt;0,AL110,AM110))</f>
        <v>46493.5833333333</v>
      </c>
      <c r="AN111" s="27" t="n">
        <f aca="false">IF(OR(AK111="",AM111=""),"",(AK111-AM111)*24)</f>
        <v>16</v>
      </c>
      <c r="AO111" s="21" t="n">
        <f aca="false">IF($A111="","",IF(N(AI111)&gt;0,N(AO110)+1,0))</f>
        <v>2</v>
      </c>
      <c r="AP111" s="21" t="n">
        <f aca="false">IF($A111="","",IF(N(AJ111)&gt;0,N(AP110)+1,0))</f>
        <v>0</v>
      </c>
      <c r="AQ111" s="21" t="str">
        <f aca="false">IF($A111="","",IF(WEEKDAY($A111,2)&lt;&gt;7,"",IF(AND(OR(AK111="",N(AK111)&gt;=$A111+16/24,N(AL111)&lt;=$A111+6/24),OR(AM111="",N(AM111)&lt;=$A111+6/24)),1,0)))</f>
        <v/>
      </c>
      <c r="AR111" s="26" t="str">
        <f aca="false">IF($A111="","",IF(INDEX(Muster!$C$10:$BF$10,1,MOD($A111-Einstellungen!$C$6,Einstellungen!$C$7)+1)="","-",INDEX(Muster!$C$10:$BF$10,1,MOD($A111-Einstellungen!$C$6,Einstellungen!$C$7)+1)))</f>
        <v>-</v>
      </c>
      <c r="AS111" s="27" t="n">
        <f aca="false">IF($A111="","",IFERROR(VLOOKUP(AR111,Schichten!$A$5:$G$24,6,FALSE()),0))</f>
        <v>0</v>
      </c>
      <c r="AT111" s="27" t="n">
        <f aca="false">IF($A111="","",IFERROR(VLOOKUP(AR111,Schichten!$A$5:$G$24,7,FALSE()),0))</f>
        <v>0</v>
      </c>
      <c r="AU111" s="28" t="str">
        <f aca="false">IF($A111="","",IF(N(AS111)=0,"",$A111+VLOOKUP(AR111,Schichten!$A$5:$G$24,3,FALSE())))</f>
        <v/>
      </c>
      <c r="AV111" s="28" t="str">
        <f aca="false">IF(AU111="","",$A111+VLOOKUP(AR111,Schichten!$A$5:$G$24,4,FALSE())+IF(VLOOKUP(AR111,Schichten!$A$5:$G$24,4,FALSE())&lt;=VLOOKUP(AR111,Schichten!$A$5:$G$24,3,FALSE()),1,0))</f>
        <v/>
      </c>
      <c r="AW111" s="28" t="str">
        <f aca="false">IF($A111="","",IF(N(AS110)&gt;0,AV110,AW110))</f>
        <v/>
      </c>
      <c r="AX111" s="27" t="str">
        <f aca="false">IF(OR(AU111="",AW111=""),"",(AU111-AW111)*24)</f>
        <v/>
      </c>
      <c r="AY111" s="21" t="n">
        <f aca="false">IF($A111="","",IF(N(AS111)&gt;0,N(AY110)+1,0))</f>
        <v>0</v>
      </c>
      <c r="AZ111" s="21" t="n">
        <f aca="false">IF($A111="","",IF(N(AT111)&gt;0,N(AZ110)+1,0))</f>
        <v>0</v>
      </c>
      <c r="BA111" s="21" t="str">
        <f aca="false">IF($A111="","",IF(WEEKDAY($A111,2)&lt;&gt;7,"",IF(AND(OR(AU111="",N(AU111)&gt;=$A111+16/24,N(AV111)&lt;=$A111+6/24),OR(AW111="",N(AW111)&lt;=$A111+6/24)),1,0)))</f>
        <v/>
      </c>
    </row>
    <row r="112" customFormat="false" ht="15" hidden="false" customHeight="false" outlineLevel="0" collapsed="false">
      <c r="A112" s="25" t="n">
        <f aca="false">IF(YEAR(DATE(Einstellungen!$C$4,1,1)+107)=Einstellungen!$C$4,DATE(Einstellungen!$C$4,1,1)+107,"")</f>
        <v>46495</v>
      </c>
      <c r="B112" s="26" t="str">
        <f aca="false">IF($A112="","",CHOOSE(WEEKDAY($A112,2),"Mo","Di","Mi","Do","Fr","Sa","So"))</f>
        <v>So</v>
      </c>
      <c r="C112" s="26" t="n">
        <f aca="false">IF($A112="","",MONTH($A112))</f>
        <v>4</v>
      </c>
      <c r="D112" s="26" t="str">
        <f aca="false">IF($A112="","",IF(INDEX(Muster!$C$6:$BF$6,1,MOD($A112-Einstellungen!$C$6,Einstellungen!$C$7)+1)="","-",INDEX(Muster!$C$6:$BF$6,1,MOD($A112-Einstellungen!$C$6,Einstellungen!$C$7)+1)))</f>
        <v>F</v>
      </c>
      <c r="E112" s="27" t="n">
        <f aca="false">IF($A112="","",IFERROR(VLOOKUP(D112,Schichten!$A$5:$G$24,6,FALSE()),0))</f>
        <v>8</v>
      </c>
      <c r="F112" s="27" t="n">
        <f aca="false">IF($A112="","",IFERROR(VLOOKUP(D112,Schichten!$A$5:$G$24,7,FALSE()),0))</f>
        <v>0</v>
      </c>
      <c r="G112" s="28" t="n">
        <f aca="false">IF($A112="","",IF(N(E112)=0,"",$A112+VLOOKUP(D112,Schichten!$A$5:$G$24,3,FALSE())))</f>
        <v>46495.25</v>
      </c>
      <c r="H112" s="28" t="n">
        <f aca="false">IF(G112="","",$A112+VLOOKUP(D112,Schichten!$A$5:$G$24,4,FALSE())+IF(VLOOKUP(D112,Schichten!$A$5:$G$24,4,FALSE())&lt;=VLOOKUP(D112,Schichten!$A$5:$G$24,3,FALSE()),1,0))</f>
        <v>46495.5833333333</v>
      </c>
      <c r="I112" s="28" t="n">
        <f aca="false">IF($A112="","",IF(N(E111)&gt;0,H111,I111))</f>
        <v>46493.25</v>
      </c>
      <c r="J112" s="27" t="n">
        <f aca="false">IF(OR(G112="",I112=""),"",(G112-I112)*24)</f>
        <v>48</v>
      </c>
      <c r="K112" s="21" t="n">
        <f aca="false">IF($A112="","",IF(N(E112)&gt;0,N(K111)+1,0))</f>
        <v>1</v>
      </c>
      <c r="L112" s="21" t="n">
        <f aca="false">IF($A112="","",IF(N(F112)&gt;0,N(L111)+1,0))</f>
        <v>0</v>
      </c>
      <c r="M112" s="21" t="n">
        <f aca="false">IF($A112="","",IF(WEEKDAY($A112,2)&lt;&gt;7,"",IF(AND(OR(G112="",N(G112)&gt;=$A112+16/24,N(H112)&lt;=$A112+6/24),OR(I112="",N(I112)&lt;=$A112+6/24)),1,0)))</f>
        <v>0</v>
      </c>
      <c r="N112" s="26" t="str">
        <f aca="false">IF($A112="","",IF(INDEX(Muster!$C$7:$BF$7,1,MOD($A112-Einstellungen!$C$6,Einstellungen!$C$7)+1)="","-",INDEX(Muster!$C$7:$BF$7,1,MOD($A112-Einstellungen!$C$6,Einstellungen!$C$7)+1)))</f>
        <v>-</v>
      </c>
      <c r="O112" s="27" t="n">
        <f aca="false">IF($A112="","",IFERROR(VLOOKUP(N112,Schichten!$A$5:$G$24,6,FALSE()),0))</f>
        <v>0</v>
      </c>
      <c r="P112" s="27" t="n">
        <f aca="false">IF($A112="","",IFERROR(VLOOKUP(N112,Schichten!$A$5:$G$24,7,FALSE()),0))</f>
        <v>0</v>
      </c>
      <c r="Q112" s="28" t="str">
        <f aca="false">IF($A112="","",IF(N(O112)=0,"",$A112+VLOOKUP(N112,Schichten!$A$5:$G$24,3,FALSE())))</f>
        <v/>
      </c>
      <c r="R112" s="28" t="str">
        <f aca="false">IF(Q112="","",$A112+VLOOKUP(N112,Schichten!$A$5:$G$24,4,FALSE())+IF(VLOOKUP(N112,Schichten!$A$5:$G$24,4,FALSE())&lt;=VLOOKUP(N112,Schichten!$A$5:$G$24,3,FALSE()),1,0))</f>
        <v/>
      </c>
      <c r="S112" s="28" t="n">
        <f aca="false">IF($A112="","",IF(N(O111)&gt;0,R111,S111))</f>
        <v>46495.25</v>
      </c>
      <c r="T112" s="27" t="str">
        <f aca="false">IF(OR(Q112="",S112=""),"",(Q112-S112)*24)</f>
        <v/>
      </c>
      <c r="U112" s="21" t="n">
        <f aca="false">IF($A112="","",IF(N(O112)&gt;0,N(U111)+1,0))</f>
        <v>0</v>
      </c>
      <c r="V112" s="21" t="n">
        <f aca="false">IF($A112="","",IF(N(P112)&gt;0,N(V111)+1,0))</f>
        <v>0</v>
      </c>
      <c r="W112" s="21" t="n">
        <f aca="false">IF($A112="","",IF(WEEKDAY($A112,2)&lt;&gt;7,"",IF(AND(OR(Q112="",N(Q112)&gt;=$A112+16/24,N(R112)&lt;=$A112+6/24),OR(S112="",N(S112)&lt;=$A112+6/24)),1,0)))</f>
        <v>1</v>
      </c>
      <c r="X112" s="26" t="str">
        <f aca="false">IF($A112="","",IF(INDEX(Muster!$C$8:$BF$8,1,MOD($A112-Einstellungen!$C$6,Einstellungen!$C$7)+1)="","-",INDEX(Muster!$C$8:$BF$8,1,MOD($A112-Einstellungen!$C$6,Einstellungen!$C$7)+1)))</f>
        <v>N</v>
      </c>
      <c r="Y112" s="27" t="n">
        <f aca="false">IF($A112="","",IFERROR(VLOOKUP(X112,Schichten!$A$5:$G$24,6,FALSE()),0))</f>
        <v>8</v>
      </c>
      <c r="Z112" s="27" t="n">
        <f aca="false">IF($A112="","",IFERROR(VLOOKUP(X112,Schichten!$A$5:$G$24,7,FALSE()),0))</f>
        <v>7</v>
      </c>
      <c r="AA112" s="28" t="n">
        <f aca="false">IF($A112="","",IF(N(Y112)=0,"",$A112+VLOOKUP(X112,Schichten!$A$5:$G$24,3,FALSE())))</f>
        <v>46495.9166666667</v>
      </c>
      <c r="AB112" s="28" t="n">
        <f aca="false">IF(AA112="","",$A112+VLOOKUP(X112,Schichten!$A$5:$G$24,4,FALSE())+IF(VLOOKUP(X112,Schichten!$A$5:$G$24,4,FALSE())&lt;=VLOOKUP(X112,Schichten!$A$5:$G$24,3,FALSE()),1,0))</f>
        <v>46496.25</v>
      </c>
      <c r="AC112" s="28" t="n">
        <f aca="false">IF($A112="","",IF(N(Y111)&gt;0,AB111,AC111))</f>
        <v>46494.9166666667</v>
      </c>
      <c r="AD112" s="27" t="n">
        <f aca="false">IF(OR(AA112="",AC112=""),"",(AA112-AC112)*24)</f>
        <v>24</v>
      </c>
      <c r="AE112" s="21" t="n">
        <f aca="false">IF($A112="","",IF(N(Y112)&gt;0,N(AE111)+1,0))</f>
        <v>5</v>
      </c>
      <c r="AF112" s="21" t="n">
        <f aca="false">IF($A112="","",IF(N(Z112)&gt;0,N(AF111)+1,0))</f>
        <v>1</v>
      </c>
      <c r="AG112" s="21" t="n">
        <f aca="false">IF($A112="","",IF(WEEKDAY($A112,2)&lt;&gt;7,"",IF(AND(OR(AA112="",N(AA112)&gt;=$A112+16/24,N(AB112)&lt;=$A112+6/24),OR(AC112="",N(AC112)&lt;=$A112+6/24)),1,0)))</f>
        <v>1</v>
      </c>
      <c r="AH112" s="26" t="str">
        <f aca="false">IF($A112="","",IF(INDEX(Muster!$C$9:$BF$9,1,MOD($A112-Einstellungen!$C$6,Einstellungen!$C$7)+1)="","-",INDEX(Muster!$C$9:$BF$9,1,MOD($A112-Einstellungen!$C$6,Einstellungen!$C$7)+1)))</f>
        <v>S</v>
      </c>
      <c r="AI112" s="27" t="n">
        <f aca="false">IF($A112="","",IFERROR(VLOOKUP(AH112,Schichten!$A$5:$G$24,6,FALSE()),0))</f>
        <v>8</v>
      </c>
      <c r="AJ112" s="27" t="n">
        <f aca="false">IF($A112="","",IFERROR(VLOOKUP(AH112,Schichten!$A$5:$G$24,7,FALSE()),0))</f>
        <v>0</v>
      </c>
      <c r="AK112" s="28" t="n">
        <f aca="false">IF($A112="","",IF(N(AI112)=0,"",$A112+VLOOKUP(AH112,Schichten!$A$5:$G$24,3,FALSE())))</f>
        <v>46495.5833333333</v>
      </c>
      <c r="AL112" s="28" t="n">
        <f aca="false">IF(AK112="","",$A112+VLOOKUP(AH112,Schichten!$A$5:$G$24,4,FALSE())+IF(VLOOKUP(AH112,Schichten!$A$5:$G$24,4,FALSE())&lt;=VLOOKUP(AH112,Schichten!$A$5:$G$24,3,FALSE()),1,0))</f>
        <v>46495.9166666667</v>
      </c>
      <c r="AM112" s="28" t="n">
        <f aca="false">IF($A112="","",IF(N(AI111)&gt;0,AL111,AM111))</f>
        <v>46494.5833333333</v>
      </c>
      <c r="AN112" s="27" t="n">
        <f aca="false">IF(OR(AK112="",AM112=""),"",(AK112-AM112)*24)</f>
        <v>24</v>
      </c>
      <c r="AO112" s="21" t="n">
        <f aca="false">IF($A112="","",IF(N(AI112)&gt;0,N(AO111)+1,0))</f>
        <v>3</v>
      </c>
      <c r="AP112" s="21" t="n">
        <f aca="false">IF($A112="","",IF(N(AJ112)&gt;0,N(AP111)+1,0))</f>
        <v>0</v>
      </c>
      <c r="AQ112" s="21" t="n">
        <f aca="false">IF($A112="","",IF(WEEKDAY($A112,2)&lt;&gt;7,"",IF(AND(OR(AK112="",N(AK112)&gt;=$A112+16/24,N(AL112)&lt;=$A112+6/24),OR(AM112="",N(AM112)&lt;=$A112+6/24)),1,0)))</f>
        <v>0</v>
      </c>
      <c r="AR112" s="26" t="str">
        <f aca="false">IF($A112="","",IF(INDEX(Muster!$C$10:$BF$10,1,MOD($A112-Einstellungen!$C$6,Einstellungen!$C$7)+1)="","-",INDEX(Muster!$C$10:$BF$10,1,MOD($A112-Einstellungen!$C$6,Einstellungen!$C$7)+1)))</f>
        <v>-</v>
      </c>
      <c r="AS112" s="27" t="n">
        <f aca="false">IF($A112="","",IFERROR(VLOOKUP(AR112,Schichten!$A$5:$G$24,6,FALSE()),0))</f>
        <v>0</v>
      </c>
      <c r="AT112" s="27" t="n">
        <f aca="false">IF($A112="","",IFERROR(VLOOKUP(AR112,Schichten!$A$5:$G$24,7,FALSE()),0))</f>
        <v>0</v>
      </c>
      <c r="AU112" s="28" t="str">
        <f aca="false">IF($A112="","",IF(N(AS112)=0,"",$A112+VLOOKUP(AR112,Schichten!$A$5:$G$24,3,FALSE())))</f>
        <v/>
      </c>
      <c r="AV112" s="28" t="str">
        <f aca="false">IF(AU112="","",$A112+VLOOKUP(AR112,Schichten!$A$5:$G$24,4,FALSE())+IF(VLOOKUP(AR112,Schichten!$A$5:$G$24,4,FALSE())&lt;=VLOOKUP(AR112,Schichten!$A$5:$G$24,3,FALSE()),1,0))</f>
        <v/>
      </c>
      <c r="AW112" s="28" t="str">
        <f aca="false">IF($A112="","",IF(N(AS111)&gt;0,AV111,AW111))</f>
        <v/>
      </c>
      <c r="AX112" s="27" t="str">
        <f aca="false">IF(OR(AU112="",AW112=""),"",(AU112-AW112)*24)</f>
        <v/>
      </c>
      <c r="AY112" s="21" t="n">
        <f aca="false">IF($A112="","",IF(N(AS112)&gt;0,N(AY111)+1,0))</f>
        <v>0</v>
      </c>
      <c r="AZ112" s="21" t="n">
        <f aca="false">IF($A112="","",IF(N(AT112)&gt;0,N(AZ111)+1,0))</f>
        <v>0</v>
      </c>
      <c r="BA112" s="21" t="n">
        <f aca="false">IF($A112="","",IF(WEEKDAY($A112,2)&lt;&gt;7,"",IF(AND(OR(AU112="",N(AU112)&gt;=$A112+16/24,N(AV112)&lt;=$A112+6/24),OR(AW112="",N(AW112)&lt;=$A112+6/24)),1,0)))</f>
        <v>1</v>
      </c>
    </row>
    <row r="113" customFormat="false" ht="15" hidden="false" customHeight="false" outlineLevel="0" collapsed="false">
      <c r="A113" s="25" t="n">
        <f aca="false">IF(YEAR(DATE(Einstellungen!$C$4,1,1)+108)=Einstellungen!$C$4,DATE(Einstellungen!$C$4,1,1)+108,"")</f>
        <v>46496</v>
      </c>
      <c r="B113" s="26" t="str">
        <f aca="false">IF($A113="","",CHOOSE(WEEKDAY($A113,2),"Mo","Di","Mi","Do","Fr","Sa","So"))</f>
        <v>Mo</v>
      </c>
      <c r="C113" s="26" t="n">
        <f aca="false">IF($A113="","",MONTH($A113))</f>
        <v>4</v>
      </c>
      <c r="D113" s="26" t="str">
        <f aca="false">IF($A113="","",IF(INDEX(Muster!$C$6:$BF$6,1,MOD($A113-Einstellungen!$C$6,Einstellungen!$C$7)+1)="","-",INDEX(Muster!$C$6:$BF$6,1,MOD($A113-Einstellungen!$C$6,Einstellungen!$C$7)+1)))</f>
        <v>F</v>
      </c>
      <c r="E113" s="27" t="n">
        <f aca="false">IF($A113="","",IFERROR(VLOOKUP(D113,Schichten!$A$5:$G$24,6,FALSE()),0))</f>
        <v>8</v>
      </c>
      <c r="F113" s="27" t="n">
        <f aca="false">IF($A113="","",IFERROR(VLOOKUP(D113,Schichten!$A$5:$G$24,7,FALSE()),0))</f>
        <v>0</v>
      </c>
      <c r="G113" s="28" t="n">
        <f aca="false">IF($A113="","",IF(N(E113)=0,"",$A113+VLOOKUP(D113,Schichten!$A$5:$G$24,3,FALSE())))</f>
        <v>46496.25</v>
      </c>
      <c r="H113" s="28" t="n">
        <f aca="false">IF(G113="","",$A113+VLOOKUP(D113,Schichten!$A$5:$G$24,4,FALSE())+IF(VLOOKUP(D113,Schichten!$A$5:$G$24,4,FALSE())&lt;=VLOOKUP(D113,Schichten!$A$5:$G$24,3,FALSE()),1,0))</f>
        <v>46496.5833333333</v>
      </c>
      <c r="I113" s="28" t="n">
        <f aca="false">IF($A113="","",IF(N(E112)&gt;0,H112,I112))</f>
        <v>46495.5833333333</v>
      </c>
      <c r="J113" s="27" t="n">
        <f aca="false">IF(OR(G113="",I113=""),"",(G113-I113)*24)</f>
        <v>16</v>
      </c>
      <c r="K113" s="21" t="n">
        <f aca="false">IF($A113="","",IF(N(E113)&gt;0,N(K112)+1,0))</f>
        <v>2</v>
      </c>
      <c r="L113" s="21" t="n">
        <f aca="false">IF($A113="","",IF(N(F113)&gt;0,N(L112)+1,0))</f>
        <v>0</v>
      </c>
      <c r="M113" s="21" t="str">
        <f aca="false">IF($A113="","",IF(WEEKDAY($A113,2)&lt;&gt;7,"",IF(AND(OR(G113="",N(G113)&gt;=$A113+16/24,N(H113)&lt;=$A113+6/24),OR(I113="",N(I113)&lt;=$A113+6/24)),1,0)))</f>
        <v/>
      </c>
      <c r="N113" s="26" t="str">
        <f aca="false">IF($A113="","",IF(INDEX(Muster!$C$7:$BF$7,1,MOD($A113-Einstellungen!$C$6,Einstellungen!$C$7)+1)="","-",INDEX(Muster!$C$7:$BF$7,1,MOD($A113-Einstellungen!$C$6,Einstellungen!$C$7)+1)))</f>
        <v>-</v>
      </c>
      <c r="O113" s="27" t="n">
        <f aca="false">IF($A113="","",IFERROR(VLOOKUP(N113,Schichten!$A$5:$G$24,6,FALSE()),0))</f>
        <v>0</v>
      </c>
      <c r="P113" s="27" t="n">
        <f aca="false">IF($A113="","",IFERROR(VLOOKUP(N113,Schichten!$A$5:$G$24,7,FALSE()),0))</f>
        <v>0</v>
      </c>
      <c r="Q113" s="28" t="str">
        <f aca="false">IF($A113="","",IF(N(O113)=0,"",$A113+VLOOKUP(N113,Schichten!$A$5:$G$24,3,FALSE())))</f>
        <v/>
      </c>
      <c r="R113" s="28" t="str">
        <f aca="false">IF(Q113="","",$A113+VLOOKUP(N113,Schichten!$A$5:$G$24,4,FALSE())+IF(VLOOKUP(N113,Schichten!$A$5:$G$24,4,FALSE())&lt;=VLOOKUP(N113,Schichten!$A$5:$G$24,3,FALSE()),1,0))</f>
        <v/>
      </c>
      <c r="S113" s="28" t="n">
        <f aca="false">IF($A113="","",IF(N(O112)&gt;0,R112,S112))</f>
        <v>46495.25</v>
      </c>
      <c r="T113" s="27" t="str">
        <f aca="false">IF(OR(Q113="",S113=""),"",(Q113-S113)*24)</f>
        <v/>
      </c>
      <c r="U113" s="21" t="n">
        <f aca="false">IF($A113="","",IF(N(O113)&gt;0,N(U112)+1,0))</f>
        <v>0</v>
      </c>
      <c r="V113" s="21" t="n">
        <f aca="false">IF($A113="","",IF(N(P113)&gt;0,N(V112)+1,0))</f>
        <v>0</v>
      </c>
      <c r="W113" s="21" t="str">
        <f aca="false">IF($A113="","",IF(WEEKDAY($A113,2)&lt;&gt;7,"",IF(AND(OR(Q113="",N(Q113)&gt;=$A113+16/24,N(R113)&lt;=$A113+6/24),OR(S113="",N(S113)&lt;=$A113+6/24)),1,0)))</f>
        <v/>
      </c>
      <c r="X113" s="26" t="str">
        <f aca="false">IF($A113="","",IF(INDEX(Muster!$C$8:$BF$8,1,MOD($A113-Einstellungen!$C$6,Einstellungen!$C$7)+1)="","-",INDEX(Muster!$C$8:$BF$8,1,MOD($A113-Einstellungen!$C$6,Einstellungen!$C$7)+1)))</f>
        <v>N</v>
      </c>
      <c r="Y113" s="27" t="n">
        <f aca="false">IF($A113="","",IFERROR(VLOOKUP(X113,Schichten!$A$5:$G$24,6,FALSE()),0))</f>
        <v>8</v>
      </c>
      <c r="Z113" s="27" t="n">
        <f aca="false">IF($A113="","",IFERROR(VLOOKUP(X113,Schichten!$A$5:$G$24,7,FALSE()),0))</f>
        <v>7</v>
      </c>
      <c r="AA113" s="28" t="n">
        <f aca="false">IF($A113="","",IF(N(Y113)=0,"",$A113+VLOOKUP(X113,Schichten!$A$5:$G$24,3,FALSE())))</f>
        <v>46496.9166666667</v>
      </c>
      <c r="AB113" s="28" t="n">
        <f aca="false">IF(AA113="","",$A113+VLOOKUP(X113,Schichten!$A$5:$G$24,4,FALSE())+IF(VLOOKUP(X113,Schichten!$A$5:$G$24,4,FALSE())&lt;=VLOOKUP(X113,Schichten!$A$5:$G$24,3,FALSE()),1,0))</f>
        <v>46497.25</v>
      </c>
      <c r="AC113" s="28" t="n">
        <f aca="false">IF($A113="","",IF(N(Y112)&gt;0,AB112,AC112))</f>
        <v>46496.25</v>
      </c>
      <c r="AD113" s="27" t="n">
        <f aca="false">IF(OR(AA113="",AC113=""),"",(AA113-AC113)*24)</f>
        <v>16</v>
      </c>
      <c r="AE113" s="21" t="n">
        <f aca="false">IF($A113="","",IF(N(Y113)&gt;0,N(AE112)+1,0))</f>
        <v>6</v>
      </c>
      <c r="AF113" s="21" t="n">
        <f aca="false">IF($A113="","",IF(N(Z113)&gt;0,N(AF112)+1,0))</f>
        <v>2</v>
      </c>
      <c r="AG113" s="21" t="str">
        <f aca="false">IF($A113="","",IF(WEEKDAY($A113,2)&lt;&gt;7,"",IF(AND(OR(AA113="",N(AA113)&gt;=$A113+16/24,N(AB113)&lt;=$A113+6/24),OR(AC113="",N(AC113)&lt;=$A113+6/24)),1,0)))</f>
        <v/>
      </c>
      <c r="AH113" s="26" t="str">
        <f aca="false">IF($A113="","",IF(INDEX(Muster!$C$9:$BF$9,1,MOD($A113-Einstellungen!$C$6,Einstellungen!$C$7)+1)="","-",INDEX(Muster!$C$9:$BF$9,1,MOD($A113-Einstellungen!$C$6,Einstellungen!$C$7)+1)))</f>
        <v>S</v>
      </c>
      <c r="AI113" s="27" t="n">
        <f aca="false">IF($A113="","",IFERROR(VLOOKUP(AH113,Schichten!$A$5:$G$24,6,FALSE()),0))</f>
        <v>8</v>
      </c>
      <c r="AJ113" s="27" t="n">
        <f aca="false">IF($A113="","",IFERROR(VLOOKUP(AH113,Schichten!$A$5:$G$24,7,FALSE()),0))</f>
        <v>0</v>
      </c>
      <c r="AK113" s="28" t="n">
        <f aca="false">IF($A113="","",IF(N(AI113)=0,"",$A113+VLOOKUP(AH113,Schichten!$A$5:$G$24,3,FALSE())))</f>
        <v>46496.5833333333</v>
      </c>
      <c r="AL113" s="28" t="n">
        <f aca="false">IF(AK113="","",$A113+VLOOKUP(AH113,Schichten!$A$5:$G$24,4,FALSE())+IF(VLOOKUP(AH113,Schichten!$A$5:$G$24,4,FALSE())&lt;=VLOOKUP(AH113,Schichten!$A$5:$G$24,3,FALSE()),1,0))</f>
        <v>46496.9166666667</v>
      </c>
      <c r="AM113" s="28" t="n">
        <f aca="false">IF($A113="","",IF(N(AI112)&gt;0,AL112,AM112))</f>
        <v>46495.9166666667</v>
      </c>
      <c r="AN113" s="27" t="n">
        <f aca="false">IF(OR(AK113="",AM113=""),"",(AK113-AM113)*24)</f>
        <v>16</v>
      </c>
      <c r="AO113" s="21" t="n">
        <f aca="false">IF($A113="","",IF(N(AI113)&gt;0,N(AO112)+1,0))</f>
        <v>4</v>
      </c>
      <c r="AP113" s="21" t="n">
        <f aca="false">IF($A113="","",IF(N(AJ113)&gt;0,N(AP112)+1,0))</f>
        <v>0</v>
      </c>
      <c r="AQ113" s="21" t="str">
        <f aca="false">IF($A113="","",IF(WEEKDAY($A113,2)&lt;&gt;7,"",IF(AND(OR(AK113="",N(AK113)&gt;=$A113+16/24,N(AL113)&lt;=$A113+6/24),OR(AM113="",N(AM113)&lt;=$A113+6/24)),1,0)))</f>
        <v/>
      </c>
      <c r="AR113" s="26" t="str">
        <f aca="false">IF($A113="","",IF(INDEX(Muster!$C$10:$BF$10,1,MOD($A113-Einstellungen!$C$6,Einstellungen!$C$7)+1)="","-",INDEX(Muster!$C$10:$BF$10,1,MOD($A113-Einstellungen!$C$6,Einstellungen!$C$7)+1)))</f>
        <v>-</v>
      </c>
      <c r="AS113" s="27" t="n">
        <f aca="false">IF($A113="","",IFERROR(VLOOKUP(AR113,Schichten!$A$5:$G$24,6,FALSE()),0))</f>
        <v>0</v>
      </c>
      <c r="AT113" s="27" t="n">
        <f aca="false">IF($A113="","",IFERROR(VLOOKUP(AR113,Schichten!$A$5:$G$24,7,FALSE()),0))</f>
        <v>0</v>
      </c>
      <c r="AU113" s="28" t="str">
        <f aca="false">IF($A113="","",IF(N(AS113)=0,"",$A113+VLOOKUP(AR113,Schichten!$A$5:$G$24,3,FALSE())))</f>
        <v/>
      </c>
      <c r="AV113" s="28" t="str">
        <f aca="false">IF(AU113="","",$A113+VLOOKUP(AR113,Schichten!$A$5:$G$24,4,FALSE())+IF(VLOOKUP(AR113,Schichten!$A$5:$G$24,4,FALSE())&lt;=VLOOKUP(AR113,Schichten!$A$5:$G$24,3,FALSE()),1,0))</f>
        <v/>
      </c>
      <c r="AW113" s="28" t="str">
        <f aca="false">IF($A113="","",IF(N(AS112)&gt;0,AV112,AW112))</f>
        <v/>
      </c>
      <c r="AX113" s="27" t="str">
        <f aca="false">IF(OR(AU113="",AW113=""),"",(AU113-AW113)*24)</f>
        <v/>
      </c>
      <c r="AY113" s="21" t="n">
        <f aca="false">IF($A113="","",IF(N(AS113)&gt;0,N(AY112)+1,0))</f>
        <v>0</v>
      </c>
      <c r="AZ113" s="21" t="n">
        <f aca="false">IF($A113="","",IF(N(AT113)&gt;0,N(AZ112)+1,0))</f>
        <v>0</v>
      </c>
      <c r="BA113" s="21" t="str">
        <f aca="false">IF($A113="","",IF(WEEKDAY($A113,2)&lt;&gt;7,"",IF(AND(OR(AU113="",N(AU113)&gt;=$A113+16/24,N(AV113)&lt;=$A113+6/24),OR(AW113="",N(AW113)&lt;=$A113+6/24)),1,0)))</f>
        <v/>
      </c>
    </row>
    <row r="114" customFormat="false" ht="15" hidden="false" customHeight="false" outlineLevel="0" collapsed="false">
      <c r="A114" s="25" t="n">
        <f aca="false">IF(YEAR(DATE(Einstellungen!$C$4,1,1)+109)=Einstellungen!$C$4,DATE(Einstellungen!$C$4,1,1)+109,"")</f>
        <v>46497</v>
      </c>
      <c r="B114" s="26" t="str">
        <f aca="false">IF($A114="","",CHOOSE(WEEKDAY($A114,2),"Mo","Di","Mi","Do","Fr","Sa","So"))</f>
        <v>Di</v>
      </c>
      <c r="C114" s="26" t="n">
        <f aca="false">IF($A114="","",MONTH($A114))</f>
        <v>4</v>
      </c>
      <c r="D114" s="26" t="str">
        <f aca="false">IF($A114="","",IF(INDEX(Muster!$C$6:$BF$6,1,MOD($A114-Einstellungen!$C$6,Einstellungen!$C$7)+1)="","-",INDEX(Muster!$C$6:$BF$6,1,MOD($A114-Einstellungen!$C$6,Einstellungen!$C$7)+1)))</f>
        <v>S</v>
      </c>
      <c r="E114" s="27" t="n">
        <f aca="false">IF($A114="","",IFERROR(VLOOKUP(D114,Schichten!$A$5:$G$24,6,FALSE()),0))</f>
        <v>8</v>
      </c>
      <c r="F114" s="27" t="n">
        <f aca="false">IF($A114="","",IFERROR(VLOOKUP(D114,Schichten!$A$5:$G$24,7,FALSE()),0))</f>
        <v>0</v>
      </c>
      <c r="G114" s="28" t="n">
        <f aca="false">IF($A114="","",IF(N(E114)=0,"",$A114+VLOOKUP(D114,Schichten!$A$5:$G$24,3,FALSE())))</f>
        <v>46497.5833333333</v>
      </c>
      <c r="H114" s="28" t="n">
        <f aca="false">IF(G114="","",$A114+VLOOKUP(D114,Schichten!$A$5:$G$24,4,FALSE())+IF(VLOOKUP(D114,Schichten!$A$5:$G$24,4,FALSE())&lt;=VLOOKUP(D114,Schichten!$A$5:$G$24,3,FALSE()),1,0))</f>
        <v>46497.9166666667</v>
      </c>
      <c r="I114" s="28" t="n">
        <f aca="false">IF($A114="","",IF(N(E113)&gt;0,H113,I113))</f>
        <v>46496.5833333333</v>
      </c>
      <c r="J114" s="27" t="n">
        <f aca="false">IF(OR(G114="",I114=""),"",(G114-I114)*24)</f>
        <v>24</v>
      </c>
      <c r="K114" s="21" t="n">
        <f aca="false">IF($A114="","",IF(N(E114)&gt;0,N(K113)+1,0))</f>
        <v>3</v>
      </c>
      <c r="L114" s="21" t="n">
        <f aca="false">IF($A114="","",IF(N(F114)&gt;0,N(L113)+1,0))</f>
        <v>0</v>
      </c>
      <c r="M114" s="21" t="str">
        <f aca="false">IF($A114="","",IF(WEEKDAY($A114,2)&lt;&gt;7,"",IF(AND(OR(G114="",N(G114)&gt;=$A114+16/24,N(H114)&lt;=$A114+6/24),OR(I114="",N(I114)&lt;=$A114+6/24)),1,0)))</f>
        <v/>
      </c>
      <c r="N114" s="26" t="str">
        <f aca="false">IF($A114="","",IF(INDEX(Muster!$C$7:$BF$7,1,MOD($A114-Einstellungen!$C$6,Einstellungen!$C$7)+1)="","-",INDEX(Muster!$C$7:$BF$7,1,MOD($A114-Einstellungen!$C$6,Einstellungen!$C$7)+1)))</f>
        <v>F</v>
      </c>
      <c r="O114" s="27" t="n">
        <f aca="false">IF($A114="","",IFERROR(VLOOKUP(N114,Schichten!$A$5:$G$24,6,FALSE()),0))</f>
        <v>8</v>
      </c>
      <c r="P114" s="27" t="n">
        <f aca="false">IF($A114="","",IFERROR(VLOOKUP(N114,Schichten!$A$5:$G$24,7,FALSE()),0))</f>
        <v>0</v>
      </c>
      <c r="Q114" s="28" t="n">
        <f aca="false">IF($A114="","",IF(N(O114)=0,"",$A114+VLOOKUP(N114,Schichten!$A$5:$G$24,3,FALSE())))</f>
        <v>46497.25</v>
      </c>
      <c r="R114" s="28" t="n">
        <f aca="false">IF(Q114="","",$A114+VLOOKUP(N114,Schichten!$A$5:$G$24,4,FALSE())+IF(VLOOKUP(N114,Schichten!$A$5:$G$24,4,FALSE())&lt;=VLOOKUP(N114,Schichten!$A$5:$G$24,3,FALSE()),1,0))</f>
        <v>46497.5833333333</v>
      </c>
      <c r="S114" s="28" t="n">
        <f aca="false">IF($A114="","",IF(N(O113)&gt;0,R113,S113))</f>
        <v>46495.25</v>
      </c>
      <c r="T114" s="27" t="n">
        <f aca="false">IF(OR(Q114="",S114=""),"",(Q114-S114)*24)</f>
        <v>48</v>
      </c>
      <c r="U114" s="21" t="n">
        <f aca="false">IF($A114="","",IF(N(O114)&gt;0,N(U113)+1,0))</f>
        <v>1</v>
      </c>
      <c r="V114" s="21" t="n">
        <f aca="false">IF($A114="","",IF(N(P114)&gt;0,N(V113)+1,0))</f>
        <v>0</v>
      </c>
      <c r="W114" s="21" t="str">
        <f aca="false">IF($A114="","",IF(WEEKDAY($A114,2)&lt;&gt;7,"",IF(AND(OR(Q114="",N(Q114)&gt;=$A114+16/24,N(R114)&lt;=$A114+6/24),OR(S114="",N(S114)&lt;=$A114+6/24)),1,0)))</f>
        <v/>
      </c>
      <c r="X114" s="26" t="str">
        <f aca="false">IF($A114="","",IF(INDEX(Muster!$C$8:$BF$8,1,MOD($A114-Einstellungen!$C$6,Einstellungen!$C$7)+1)="","-",INDEX(Muster!$C$8:$BF$8,1,MOD($A114-Einstellungen!$C$6,Einstellungen!$C$7)+1)))</f>
        <v>-</v>
      </c>
      <c r="Y114" s="27" t="n">
        <f aca="false">IF($A114="","",IFERROR(VLOOKUP(X114,Schichten!$A$5:$G$24,6,FALSE()),0))</f>
        <v>0</v>
      </c>
      <c r="Z114" s="27" t="n">
        <f aca="false">IF($A114="","",IFERROR(VLOOKUP(X114,Schichten!$A$5:$G$24,7,FALSE()),0))</f>
        <v>0</v>
      </c>
      <c r="AA114" s="28" t="str">
        <f aca="false">IF($A114="","",IF(N(Y114)=0,"",$A114+VLOOKUP(X114,Schichten!$A$5:$G$24,3,FALSE())))</f>
        <v/>
      </c>
      <c r="AB114" s="28" t="str">
        <f aca="false">IF(AA114="","",$A114+VLOOKUP(X114,Schichten!$A$5:$G$24,4,FALSE())+IF(VLOOKUP(X114,Schichten!$A$5:$G$24,4,FALSE())&lt;=VLOOKUP(X114,Schichten!$A$5:$G$24,3,FALSE()),1,0))</f>
        <v/>
      </c>
      <c r="AC114" s="28" t="n">
        <f aca="false">IF($A114="","",IF(N(Y113)&gt;0,AB113,AC113))</f>
        <v>46497.25</v>
      </c>
      <c r="AD114" s="27" t="str">
        <f aca="false">IF(OR(AA114="",AC114=""),"",(AA114-AC114)*24)</f>
        <v/>
      </c>
      <c r="AE114" s="21" t="n">
        <f aca="false">IF($A114="","",IF(N(Y114)&gt;0,N(AE113)+1,0))</f>
        <v>0</v>
      </c>
      <c r="AF114" s="21" t="n">
        <f aca="false">IF($A114="","",IF(N(Z114)&gt;0,N(AF113)+1,0))</f>
        <v>0</v>
      </c>
      <c r="AG114" s="21" t="str">
        <f aca="false">IF($A114="","",IF(WEEKDAY($A114,2)&lt;&gt;7,"",IF(AND(OR(AA114="",N(AA114)&gt;=$A114+16/24,N(AB114)&lt;=$A114+6/24),OR(AC114="",N(AC114)&lt;=$A114+6/24)),1,0)))</f>
        <v/>
      </c>
      <c r="AH114" s="26" t="str">
        <f aca="false">IF($A114="","",IF(INDEX(Muster!$C$9:$BF$9,1,MOD($A114-Einstellungen!$C$6,Einstellungen!$C$7)+1)="","-",INDEX(Muster!$C$9:$BF$9,1,MOD($A114-Einstellungen!$C$6,Einstellungen!$C$7)+1)))</f>
        <v>N</v>
      </c>
      <c r="AI114" s="27" t="n">
        <f aca="false">IF($A114="","",IFERROR(VLOOKUP(AH114,Schichten!$A$5:$G$24,6,FALSE()),0))</f>
        <v>8</v>
      </c>
      <c r="AJ114" s="27" t="n">
        <f aca="false">IF($A114="","",IFERROR(VLOOKUP(AH114,Schichten!$A$5:$G$24,7,FALSE()),0))</f>
        <v>7</v>
      </c>
      <c r="AK114" s="28" t="n">
        <f aca="false">IF($A114="","",IF(N(AI114)=0,"",$A114+VLOOKUP(AH114,Schichten!$A$5:$G$24,3,FALSE())))</f>
        <v>46497.9166666667</v>
      </c>
      <c r="AL114" s="28" t="n">
        <f aca="false">IF(AK114="","",$A114+VLOOKUP(AH114,Schichten!$A$5:$G$24,4,FALSE())+IF(VLOOKUP(AH114,Schichten!$A$5:$G$24,4,FALSE())&lt;=VLOOKUP(AH114,Schichten!$A$5:$G$24,3,FALSE()),1,0))</f>
        <v>46498.25</v>
      </c>
      <c r="AM114" s="28" t="n">
        <f aca="false">IF($A114="","",IF(N(AI113)&gt;0,AL113,AM113))</f>
        <v>46496.9166666667</v>
      </c>
      <c r="AN114" s="27" t="n">
        <f aca="false">IF(OR(AK114="",AM114=""),"",(AK114-AM114)*24)</f>
        <v>24</v>
      </c>
      <c r="AO114" s="21" t="n">
        <f aca="false">IF($A114="","",IF(N(AI114)&gt;0,N(AO113)+1,0))</f>
        <v>5</v>
      </c>
      <c r="AP114" s="21" t="n">
        <f aca="false">IF($A114="","",IF(N(AJ114)&gt;0,N(AP113)+1,0))</f>
        <v>1</v>
      </c>
      <c r="AQ114" s="21" t="str">
        <f aca="false">IF($A114="","",IF(WEEKDAY($A114,2)&lt;&gt;7,"",IF(AND(OR(AK114="",N(AK114)&gt;=$A114+16/24,N(AL114)&lt;=$A114+6/24),OR(AM114="",N(AM114)&lt;=$A114+6/24)),1,0)))</f>
        <v/>
      </c>
      <c r="AR114" s="26" t="str">
        <f aca="false">IF($A114="","",IF(INDEX(Muster!$C$10:$BF$10,1,MOD($A114-Einstellungen!$C$6,Einstellungen!$C$7)+1)="","-",INDEX(Muster!$C$10:$BF$10,1,MOD($A114-Einstellungen!$C$6,Einstellungen!$C$7)+1)))</f>
        <v>-</v>
      </c>
      <c r="AS114" s="27" t="n">
        <f aca="false">IF($A114="","",IFERROR(VLOOKUP(AR114,Schichten!$A$5:$G$24,6,FALSE()),0))</f>
        <v>0</v>
      </c>
      <c r="AT114" s="27" t="n">
        <f aca="false">IF($A114="","",IFERROR(VLOOKUP(AR114,Schichten!$A$5:$G$24,7,FALSE()),0))</f>
        <v>0</v>
      </c>
      <c r="AU114" s="28" t="str">
        <f aca="false">IF($A114="","",IF(N(AS114)=0,"",$A114+VLOOKUP(AR114,Schichten!$A$5:$G$24,3,FALSE())))</f>
        <v/>
      </c>
      <c r="AV114" s="28" t="str">
        <f aca="false">IF(AU114="","",$A114+VLOOKUP(AR114,Schichten!$A$5:$G$24,4,FALSE())+IF(VLOOKUP(AR114,Schichten!$A$5:$G$24,4,FALSE())&lt;=VLOOKUP(AR114,Schichten!$A$5:$G$24,3,FALSE()),1,0))</f>
        <v/>
      </c>
      <c r="AW114" s="28" t="str">
        <f aca="false">IF($A114="","",IF(N(AS113)&gt;0,AV113,AW113))</f>
        <v/>
      </c>
      <c r="AX114" s="27" t="str">
        <f aca="false">IF(OR(AU114="",AW114=""),"",(AU114-AW114)*24)</f>
        <v/>
      </c>
      <c r="AY114" s="21" t="n">
        <f aca="false">IF($A114="","",IF(N(AS114)&gt;0,N(AY113)+1,0))</f>
        <v>0</v>
      </c>
      <c r="AZ114" s="21" t="n">
        <f aca="false">IF($A114="","",IF(N(AT114)&gt;0,N(AZ113)+1,0))</f>
        <v>0</v>
      </c>
      <c r="BA114" s="21" t="str">
        <f aca="false">IF($A114="","",IF(WEEKDAY($A114,2)&lt;&gt;7,"",IF(AND(OR(AU114="",N(AU114)&gt;=$A114+16/24,N(AV114)&lt;=$A114+6/24),OR(AW114="",N(AW114)&lt;=$A114+6/24)),1,0)))</f>
        <v/>
      </c>
    </row>
    <row r="115" customFormat="false" ht="15" hidden="false" customHeight="false" outlineLevel="0" collapsed="false">
      <c r="A115" s="25" t="n">
        <f aca="false">IF(YEAR(DATE(Einstellungen!$C$4,1,1)+110)=Einstellungen!$C$4,DATE(Einstellungen!$C$4,1,1)+110,"")</f>
        <v>46498</v>
      </c>
      <c r="B115" s="26" t="str">
        <f aca="false">IF($A115="","",CHOOSE(WEEKDAY($A115,2),"Mo","Di","Mi","Do","Fr","Sa","So"))</f>
        <v>Mi</v>
      </c>
      <c r="C115" s="26" t="n">
        <f aca="false">IF($A115="","",MONTH($A115))</f>
        <v>4</v>
      </c>
      <c r="D115" s="26" t="str">
        <f aca="false">IF($A115="","",IF(INDEX(Muster!$C$6:$BF$6,1,MOD($A115-Einstellungen!$C$6,Einstellungen!$C$7)+1)="","-",INDEX(Muster!$C$6:$BF$6,1,MOD($A115-Einstellungen!$C$6,Einstellungen!$C$7)+1)))</f>
        <v>S</v>
      </c>
      <c r="E115" s="27" t="n">
        <f aca="false">IF($A115="","",IFERROR(VLOOKUP(D115,Schichten!$A$5:$G$24,6,FALSE()),0))</f>
        <v>8</v>
      </c>
      <c r="F115" s="27" t="n">
        <f aca="false">IF($A115="","",IFERROR(VLOOKUP(D115,Schichten!$A$5:$G$24,7,FALSE()),0))</f>
        <v>0</v>
      </c>
      <c r="G115" s="28" t="n">
        <f aca="false">IF($A115="","",IF(N(E115)=0,"",$A115+VLOOKUP(D115,Schichten!$A$5:$G$24,3,FALSE())))</f>
        <v>46498.5833333333</v>
      </c>
      <c r="H115" s="28" t="n">
        <f aca="false">IF(G115="","",$A115+VLOOKUP(D115,Schichten!$A$5:$G$24,4,FALSE())+IF(VLOOKUP(D115,Schichten!$A$5:$G$24,4,FALSE())&lt;=VLOOKUP(D115,Schichten!$A$5:$G$24,3,FALSE()),1,0))</f>
        <v>46498.9166666667</v>
      </c>
      <c r="I115" s="28" t="n">
        <f aca="false">IF($A115="","",IF(N(E114)&gt;0,H114,I114))</f>
        <v>46497.9166666667</v>
      </c>
      <c r="J115" s="27" t="n">
        <f aca="false">IF(OR(G115="",I115=""),"",(G115-I115)*24)</f>
        <v>16</v>
      </c>
      <c r="K115" s="21" t="n">
        <f aca="false">IF($A115="","",IF(N(E115)&gt;0,N(K114)+1,0))</f>
        <v>4</v>
      </c>
      <c r="L115" s="21" t="n">
        <f aca="false">IF($A115="","",IF(N(F115)&gt;0,N(L114)+1,0))</f>
        <v>0</v>
      </c>
      <c r="M115" s="21" t="str">
        <f aca="false">IF($A115="","",IF(WEEKDAY($A115,2)&lt;&gt;7,"",IF(AND(OR(G115="",N(G115)&gt;=$A115+16/24,N(H115)&lt;=$A115+6/24),OR(I115="",N(I115)&lt;=$A115+6/24)),1,0)))</f>
        <v/>
      </c>
      <c r="N115" s="26" t="str">
        <f aca="false">IF($A115="","",IF(INDEX(Muster!$C$7:$BF$7,1,MOD($A115-Einstellungen!$C$6,Einstellungen!$C$7)+1)="","-",INDEX(Muster!$C$7:$BF$7,1,MOD($A115-Einstellungen!$C$6,Einstellungen!$C$7)+1)))</f>
        <v>F</v>
      </c>
      <c r="O115" s="27" t="n">
        <f aca="false">IF($A115="","",IFERROR(VLOOKUP(N115,Schichten!$A$5:$G$24,6,FALSE()),0))</f>
        <v>8</v>
      </c>
      <c r="P115" s="27" t="n">
        <f aca="false">IF($A115="","",IFERROR(VLOOKUP(N115,Schichten!$A$5:$G$24,7,FALSE()),0))</f>
        <v>0</v>
      </c>
      <c r="Q115" s="28" t="n">
        <f aca="false">IF($A115="","",IF(N(O115)=0,"",$A115+VLOOKUP(N115,Schichten!$A$5:$G$24,3,FALSE())))</f>
        <v>46498.25</v>
      </c>
      <c r="R115" s="28" t="n">
        <f aca="false">IF(Q115="","",$A115+VLOOKUP(N115,Schichten!$A$5:$G$24,4,FALSE())+IF(VLOOKUP(N115,Schichten!$A$5:$G$24,4,FALSE())&lt;=VLOOKUP(N115,Schichten!$A$5:$G$24,3,FALSE()),1,0))</f>
        <v>46498.5833333333</v>
      </c>
      <c r="S115" s="28" t="n">
        <f aca="false">IF($A115="","",IF(N(O114)&gt;0,R114,S114))</f>
        <v>46497.5833333333</v>
      </c>
      <c r="T115" s="27" t="n">
        <f aca="false">IF(OR(Q115="",S115=""),"",(Q115-S115)*24)</f>
        <v>16</v>
      </c>
      <c r="U115" s="21" t="n">
        <f aca="false">IF($A115="","",IF(N(O115)&gt;0,N(U114)+1,0))</f>
        <v>2</v>
      </c>
      <c r="V115" s="21" t="n">
        <f aca="false">IF($A115="","",IF(N(P115)&gt;0,N(V114)+1,0))</f>
        <v>0</v>
      </c>
      <c r="W115" s="21" t="str">
        <f aca="false">IF($A115="","",IF(WEEKDAY($A115,2)&lt;&gt;7,"",IF(AND(OR(Q115="",N(Q115)&gt;=$A115+16/24,N(R115)&lt;=$A115+6/24),OR(S115="",N(S115)&lt;=$A115+6/24)),1,0)))</f>
        <v/>
      </c>
      <c r="X115" s="26" t="str">
        <f aca="false">IF($A115="","",IF(INDEX(Muster!$C$8:$BF$8,1,MOD($A115-Einstellungen!$C$6,Einstellungen!$C$7)+1)="","-",INDEX(Muster!$C$8:$BF$8,1,MOD($A115-Einstellungen!$C$6,Einstellungen!$C$7)+1)))</f>
        <v>-</v>
      </c>
      <c r="Y115" s="27" t="n">
        <f aca="false">IF($A115="","",IFERROR(VLOOKUP(X115,Schichten!$A$5:$G$24,6,FALSE()),0))</f>
        <v>0</v>
      </c>
      <c r="Z115" s="27" t="n">
        <f aca="false">IF($A115="","",IFERROR(VLOOKUP(X115,Schichten!$A$5:$G$24,7,FALSE()),0))</f>
        <v>0</v>
      </c>
      <c r="AA115" s="28" t="str">
        <f aca="false">IF($A115="","",IF(N(Y115)=0,"",$A115+VLOOKUP(X115,Schichten!$A$5:$G$24,3,FALSE())))</f>
        <v/>
      </c>
      <c r="AB115" s="28" t="str">
        <f aca="false">IF(AA115="","",$A115+VLOOKUP(X115,Schichten!$A$5:$G$24,4,FALSE())+IF(VLOOKUP(X115,Schichten!$A$5:$G$24,4,FALSE())&lt;=VLOOKUP(X115,Schichten!$A$5:$G$24,3,FALSE()),1,0))</f>
        <v/>
      </c>
      <c r="AC115" s="28" t="n">
        <f aca="false">IF($A115="","",IF(N(Y114)&gt;0,AB114,AC114))</f>
        <v>46497.25</v>
      </c>
      <c r="AD115" s="27" t="str">
        <f aca="false">IF(OR(AA115="",AC115=""),"",(AA115-AC115)*24)</f>
        <v/>
      </c>
      <c r="AE115" s="21" t="n">
        <f aca="false">IF($A115="","",IF(N(Y115)&gt;0,N(AE114)+1,0))</f>
        <v>0</v>
      </c>
      <c r="AF115" s="21" t="n">
        <f aca="false">IF($A115="","",IF(N(Z115)&gt;0,N(AF114)+1,0))</f>
        <v>0</v>
      </c>
      <c r="AG115" s="21" t="str">
        <f aca="false">IF($A115="","",IF(WEEKDAY($A115,2)&lt;&gt;7,"",IF(AND(OR(AA115="",N(AA115)&gt;=$A115+16/24,N(AB115)&lt;=$A115+6/24),OR(AC115="",N(AC115)&lt;=$A115+6/24)),1,0)))</f>
        <v/>
      </c>
      <c r="AH115" s="26" t="str">
        <f aca="false">IF($A115="","",IF(INDEX(Muster!$C$9:$BF$9,1,MOD($A115-Einstellungen!$C$6,Einstellungen!$C$7)+1)="","-",INDEX(Muster!$C$9:$BF$9,1,MOD($A115-Einstellungen!$C$6,Einstellungen!$C$7)+1)))</f>
        <v>N</v>
      </c>
      <c r="AI115" s="27" t="n">
        <f aca="false">IF($A115="","",IFERROR(VLOOKUP(AH115,Schichten!$A$5:$G$24,6,FALSE()),0))</f>
        <v>8</v>
      </c>
      <c r="AJ115" s="27" t="n">
        <f aca="false">IF($A115="","",IFERROR(VLOOKUP(AH115,Schichten!$A$5:$G$24,7,FALSE()),0))</f>
        <v>7</v>
      </c>
      <c r="AK115" s="28" t="n">
        <f aca="false">IF($A115="","",IF(N(AI115)=0,"",$A115+VLOOKUP(AH115,Schichten!$A$5:$G$24,3,FALSE())))</f>
        <v>46498.9166666667</v>
      </c>
      <c r="AL115" s="28" t="n">
        <f aca="false">IF(AK115="","",$A115+VLOOKUP(AH115,Schichten!$A$5:$G$24,4,FALSE())+IF(VLOOKUP(AH115,Schichten!$A$5:$G$24,4,FALSE())&lt;=VLOOKUP(AH115,Schichten!$A$5:$G$24,3,FALSE()),1,0))</f>
        <v>46499.25</v>
      </c>
      <c r="AM115" s="28" t="n">
        <f aca="false">IF($A115="","",IF(N(AI114)&gt;0,AL114,AM114))</f>
        <v>46498.25</v>
      </c>
      <c r="AN115" s="27" t="n">
        <f aca="false">IF(OR(AK115="",AM115=""),"",(AK115-AM115)*24)</f>
        <v>16</v>
      </c>
      <c r="AO115" s="21" t="n">
        <f aca="false">IF($A115="","",IF(N(AI115)&gt;0,N(AO114)+1,0))</f>
        <v>6</v>
      </c>
      <c r="AP115" s="21" t="n">
        <f aca="false">IF($A115="","",IF(N(AJ115)&gt;0,N(AP114)+1,0))</f>
        <v>2</v>
      </c>
      <c r="AQ115" s="21" t="str">
        <f aca="false">IF($A115="","",IF(WEEKDAY($A115,2)&lt;&gt;7,"",IF(AND(OR(AK115="",N(AK115)&gt;=$A115+16/24,N(AL115)&lt;=$A115+6/24),OR(AM115="",N(AM115)&lt;=$A115+6/24)),1,0)))</f>
        <v/>
      </c>
      <c r="AR115" s="26" t="str">
        <f aca="false">IF($A115="","",IF(INDEX(Muster!$C$10:$BF$10,1,MOD($A115-Einstellungen!$C$6,Einstellungen!$C$7)+1)="","-",INDEX(Muster!$C$10:$BF$10,1,MOD($A115-Einstellungen!$C$6,Einstellungen!$C$7)+1)))</f>
        <v>-</v>
      </c>
      <c r="AS115" s="27" t="n">
        <f aca="false">IF($A115="","",IFERROR(VLOOKUP(AR115,Schichten!$A$5:$G$24,6,FALSE()),0))</f>
        <v>0</v>
      </c>
      <c r="AT115" s="27" t="n">
        <f aca="false">IF($A115="","",IFERROR(VLOOKUP(AR115,Schichten!$A$5:$G$24,7,FALSE()),0))</f>
        <v>0</v>
      </c>
      <c r="AU115" s="28" t="str">
        <f aca="false">IF($A115="","",IF(N(AS115)=0,"",$A115+VLOOKUP(AR115,Schichten!$A$5:$G$24,3,FALSE())))</f>
        <v/>
      </c>
      <c r="AV115" s="28" t="str">
        <f aca="false">IF(AU115="","",$A115+VLOOKUP(AR115,Schichten!$A$5:$G$24,4,FALSE())+IF(VLOOKUP(AR115,Schichten!$A$5:$G$24,4,FALSE())&lt;=VLOOKUP(AR115,Schichten!$A$5:$G$24,3,FALSE()),1,0))</f>
        <v/>
      </c>
      <c r="AW115" s="28" t="str">
        <f aca="false">IF($A115="","",IF(N(AS114)&gt;0,AV114,AW114))</f>
        <v/>
      </c>
      <c r="AX115" s="27" t="str">
        <f aca="false">IF(OR(AU115="",AW115=""),"",(AU115-AW115)*24)</f>
        <v/>
      </c>
      <c r="AY115" s="21" t="n">
        <f aca="false">IF($A115="","",IF(N(AS115)&gt;0,N(AY114)+1,0))</f>
        <v>0</v>
      </c>
      <c r="AZ115" s="21" t="n">
        <f aca="false">IF($A115="","",IF(N(AT115)&gt;0,N(AZ114)+1,0))</f>
        <v>0</v>
      </c>
      <c r="BA115" s="21" t="str">
        <f aca="false">IF($A115="","",IF(WEEKDAY($A115,2)&lt;&gt;7,"",IF(AND(OR(AU115="",N(AU115)&gt;=$A115+16/24,N(AV115)&lt;=$A115+6/24),OR(AW115="",N(AW115)&lt;=$A115+6/24)),1,0)))</f>
        <v/>
      </c>
    </row>
    <row r="116" customFormat="false" ht="15" hidden="false" customHeight="false" outlineLevel="0" collapsed="false">
      <c r="A116" s="25" t="n">
        <f aca="false">IF(YEAR(DATE(Einstellungen!$C$4,1,1)+111)=Einstellungen!$C$4,DATE(Einstellungen!$C$4,1,1)+111,"")</f>
        <v>46499</v>
      </c>
      <c r="B116" s="26" t="str">
        <f aca="false">IF($A116="","",CHOOSE(WEEKDAY($A116,2),"Mo","Di","Mi","Do","Fr","Sa","So"))</f>
        <v>Do</v>
      </c>
      <c r="C116" s="26" t="n">
        <f aca="false">IF($A116="","",MONTH($A116))</f>
        <v>4</v>
      </c>
      <c r="D116" s="26" t="str">
        <f aca="false">IF($A116="","",IF(INDEX(Muster!$C$6:$BF$6,1,MOD($A116-Einstellungen!$C$6,Einstellungen!$C$7)+1)="","-",INDEX(Muster!$C$6:$BF$6,1,MOD($A116-Einstellungen!$C$6,Einstellungen!$C$7)+1)))</f>
        <v>N</v>
      </c>
      <c r="E116" s="27" t="n">
        <f aca="false">IF($A116="","",IFERROR(VLOOKUP(D116,Schichten!$A$5:$G$24,6,FALSE()),0))</f>
        <v>8</v>
      </c>
      <c r="F116" s="27" t="n">
        <f aca="false">IF($A116="","",IFERROR(VLOOKUP(D116,Schichten!$A$5:$G$24,7,FALSE()),0))</f>
        <v>7</v>
      </c>
      <c r="G116" s="28" t="n">
        <f aca="false">IF($A116="","",IF(N(E116)=0,"",$A116+VLOOKUP(D116,Schichten!$A$5:$G$24,3,FALSE())))</f>
        <v>46499.9166666667</v>
      </c>
      <c r="H116" s="28" t="n">
        <f aca="false">IF(G116="","",$A116+VLOOKUP(D116,Schichten!$A$5:$G$24,4,FALSE())+IF(VLOOKUP(D116,Schichten!$A$5:$G$24,4,FALSE())&lt;=VLOOKUP(D116,Schichten!$A$5:$G$24,3,FALSE()),1,0))</f>
        <v>46500.25</v>
      </c>
      <c r="I116" s="28" t="n">
        <f aca="false">IF($A116="","",IF(N(E115)&gt;0,H115,I115))</f>
        <v>46498.9166666667</v>
      </c>
      <c r="J116" s="27" t="n">
        <f aca="false">IF(OR(G116="",I116=""),"",(G116-I116)*24)</f>
        <v>24</v>
      </c>
      <c r="K116" s="21" t="n">
        <f aca="false">IF($A116="","",IF(N(E116)&gt;0,N(K115)+1,0))</f>
        <v>5</v>
      </c>
      <c r="L116" s="21" t="n">
        <f aca="false">IF($A116="","",IF(N(F116)&gt;0,N(L115)+1,0))</f>
        <v>1</v>
      </c>
      <c r="M116" s="21" t="str">
        <f aca="false">IF($A116="","",IF(WEEKDAY($A116,2)&lt;&gt;7,"",IF(AND(OR(G116="",N(G116)&gt;=$A116+16/24,N(H116)&lt;=$A116+6/24),OR(I116="",N(I116)&lt;=$A116+6/24)),1,0)))</f>
        <v/>
      </c>
      <c r="N116" s="26" t="str">
        <f aca="false">IF($A116="","",IF(INDEX(Muster!$C$7:$BF$7,1,MOD($A116-Einstellungen!$C$6,Einstellungen!$C$7)+1)="","-",INDEX(Muster!$C$7:$BF$7,1,MOD($A116-Einstellungen!$C$6,Einstellungen!$C$7)+1)))</f>
        <v>S</v>
      </c>
      <c r="O116" s="27" t="n">
        <f aca="false">IF($A116="","",IFERROR(VLOOKUP(N116,Schichten!$A$5:$G$24,6,FALSE()),0))</f>
        <v>8</v>
      </c>
      <c r="P116" s="27" t="n">
        <f aca="false">IF($A116="","",IFERROR(VLOOKUP(N116,Schichten!$A$5:$G$24,7,FALSE()),0))</f>
        <v>0</v>
      </c>
      <c r="Q116" s="28" t="n">
        <f aca="false">IF($A116="","",IF(N(O116)=0,"",$A116+VLOOKUP(N116,Schichten!$A$5:$G$24,3,FALSE())))</f>
        <v>46499.5833333333</v>
      </c>
      <c r="R116" s="28" t="n">
        <f aca="false">IF(Q116="","",$A116+VLOOKUP(N116,Schichten!$A$5:$G$24,4,FALSE())+IF(VLOOKUP(N116,Schichten!$A$5:$G$24,4,FALSE())&lt;=VLOOKUP(N116,Schichten!$A$5:$G$24,3,FALSE()),1,0))</f>
        <v>46499.9166666667</v>
      </c>
      <c r="S116" s="28" t="n">
        <f aca="false">IF($A116="","",IF(N(O115)&gt;0,R115,S115))</f>
        <v>46498.5833333333</v>
      </c>
      <c r="T116" s="27" t="n">
        <f aca="false">IF(OR(Q116="",S116=""),"",(Q116-S116)*24)</f>
        <v>24</v>
      </c>
      <c r="U116" s="21" t="n">
        <f aca="false">IF($A116="","",IF(N(O116)&gt;0,N(U115)+1,0))</f>
        <v>3</v>
      </c>
      <c r="V116" s="21" t="n">
        <f aca="false">IF($A116="","",IF(N(P116)&gt;0,N(V115)+1,0))</f>
        <v>0</v>
      </c>
      <c r="W116" s="21" t="str">
        <f aca="false">IF($A116="","",IF(WEEKDAY($A116,2)&lt;&gt;7,"",IF(AND(OR(Q116="",N(Q116)&gt;=$A116+16/24,N(R116)&lt;=$A116+6/24),OR(S116="",N(S116)&lt;=$A116+6/24)),1,0)))</f>
        <v/>
      </c>
      <c r="X116" s="26" t="str">
        <f aca="false">IF($A116="","",IF(INDEX(Muster!$C$8:$BF$8,1,MOD($A116-Einstellungen!$C$6,Einstellungen!$C$7)+1)="","-",INDEX(Muster!$C$8:$BF$8,1,MOD($A116-Einstellungen!$C$6,Einstellungen!$C$7)+1)))</f>
        <v>F</v>
      </c>
      <c r="Y116" s="27" t="n">
        <f aca="false">IF($A116="","",IFERROR(VLOOKUP(X116,Schichten!$A$5:$G$24,6,FALSE()),0))</f>
        <v>8</v>
      </c>
      <c r="Z116" s="27" t="n">
        <f aca="false">IF($A116="","",IFERROR(VLOOKUP(X116,Schichten!$A$5:$G$24,7,FALSE()),0))</f>
        <v>0</v>
      </c>
      <c r="AA116" s="28" t="n">
        <f aca="false">IF($A116="","",IF(N(Y116)=0,"",$A116+VLOOKUP(X116,Schichten!$A$5:$G$24,3,FALSE())))</f>
        <v>46499.25</v>
      </c>
      <c r="AB116" s="28" t="n">
        <f aca="false">IF(AA116="","",$A116+VLOOKUP(X116,Schichten!$A$5:$G$24,4,FALSE())+IF(VLOOKUP(X116,Schichten!$A$5:$G$24,4,FALSE())&lt;=VLOOKUP(X116,Schichten!$A$5:$G$24,3,FALSE()),1,0))</f>
        <v>46499.5833333333</v>
      </c>
      <c r="AC116" s="28" t="n">
        <f aca="false">IF($A116="","",IF(N(Y115)&gt;0,AB115,AC115))</f>
        <v>46497.25</v>
      </c>
      <c r="AD116" s="27" t="n">
        <f aca="false">IF(OR(AA116="",AC116=""),"",(AA116-AC116)*24)</f>
        <v>48</v>
      </c>
      <c r="AE116" s="21" t="n">
        <f aca="false">IF($A116="","",IF(N(Y116)&gt;0,N(AE115)+1,0))</f>
        <v>1</v>
      </c>
      <c r="AF116" s="21" t="n">
        <f aca="false">IF($A116="","",IF(N(Z116)&gt;0,N(AF115)+1,0))</f>
        <v>0</v>
      </c>
      <c r="AG116" s="21" t="str">
        <f aca="false">IF($A116="","",IF(WEEKDAY($A116,2)&lt;&gt;7,"",IF(AND(OR(AA116="",N(AA116)&gt;=$A116+16/24,N(AB116)&lt;=$A116+6/24),OR(AC116="",N(AC116)&lt;=$A116+6/24)),1,0)))</f>
        <v/>
      </c>
      <c r="AH116" s="26" t="str">
        <f aca="false">IF($A116="","",IF(INDEX(Muster!$C$9:$BF$9,1,MOD($A116-Einstellungen!$C$6,Einstellungen!$C$7)+1)="","-",INDEX(Muster!$C$9:$BF$9,1,MOD($A116-Einstellungen!$C$6,Einstellungen!$C$7)+1)))</f>
        <v>-</v>
      </c>
      <c r="AI116" s="27" t="n">
        <f aca="false">IF($A116="","",IFERROR(VLOOKUP(AH116,Schichten!$A$5:$G$24,6,FALSE()),0))</f>
        <v>0</v>
      </c>
      <c r="AJ116" s="27" t="n">
        <f aca="false">IF($A116="","",IFERROR(VLOOKUP(AH116,Schichten!$A$5:$G$24,7,FALSE()),0))</f>
        <v>0</v>
      </c>
      <c r="AK116" s="28" t="str">
        <f aca="false">IF($A116="","",IF(N(AI116)=0,"",$A116+VLOOKUP(AH116,Schichten!$A$5:$G$24,3,FALSE())))</f>
        <v/>
      </c>
      <c r="AL116" s="28" t="str">
        <f aca="false">IF(AK116="","",$A116+VLOOKUP(AH116,Schichten!$A$5:$G$24,4,FALSE())+IF(VLOOKUP(AH116,Schichten!$A$5:$G$24,4,FALSE())&lt;=VLOOKUP(AH116,Schichten!$A$5:$G$24,3,FALSE()),1,0))</f>
        <v/>
      </c>
      <c r="AM116" s="28" t="n">
        <f aca="false">IF($A116="","",IF(N(AI115)&gt;0,AL115,AM115))</f>
        <v>46499.25</v>
      </c>
      <c r="AN116" s="27" t="str">
        <f aca="false">IF(OR(AK116="",AM116=""),"",(AK116-AM116)*24)</f>
        <v/>
      </c>
      <c r="AO116" s="21" t="n">
        <f aca="false">IF($A116="","",IF(N(AI116)&gt;0,N(AO115)+1,0))</f>
        <v>0</v>
      </c>
      <c r="AP116" s="21" t="n">
        <f aca="false">IF($A116="","",IF(N(AJ116)&gt;0,N(AP115)+1,0))</f>
        <v>0</v>
      </c>
      <c r="AQ116" s="21" t="str">
        <f aca="false">IF($A116="","",IF(WEEKDAY($A116,2)&lt;&gt;7,"",IF(AND(OR(AK116="",N(AK116)&gt;=$A116+16/24,N(AL116)&lt;=$A116+6/24),OR(AM116="",N(AM116)&lt;=$A116+6/24)),1,0)))</f>
        <v/>
      </c>
      <c r="AR116" s="26" t="str">
        <f aca="false">IF($A116="","",IF(INDEX(Muster!$C$10:$BF$10,1,MOD($A116-Einstellungen!$C$6,Einstellungen!$C$7)+1)="","-",INDEX(Muster!$C$10:$BF$10,1,MOD($A116-Einstellungen!$C$6,Einstellungen!$C$7)+1)))</f>
        <v>-</v>
      </c>
      <c r="AS116" s="27" t="n">
        <f aca="false">IF($A116="","",IFERROR(VLOOKUP(AR116,Schichten!$A$5:$G$24,6,FALSE()),0))</f>
        <v>0</v>
      </c>
      <c r="AT116" s="27" t="n">
        <f aca="false">IF($A116="","",IFERROR(VLOOKUP(AR116,Schichten!$A$5:$G$24,7,FALSE()),0))</f>
        <v>0</v>
      </c>
      <c r="AU116" s="28" t="str">
        <f aca="false">IF($A116="","",IF(N(AS116)=0,"",$A116+VLOOKUP(AR116,Schichten!$A$5:$G$24,3,FALSE())))</f>
        <v/>
      </c>
      <c r="AV116" s="28" t="str">
        <f aca="false">IF(AU116="","",$A116+VLOOKUP(AR116,Schichten!$A$5:$G$24,4,FALSE())+IF(VLOOKUP(AR116,Schichten!$A$5:$G$24,4,FALSE())&lt;=VLOOKUP(AR116,Schichten!$A$5:$G$24,3,FALSE()),1,0))</f>
        <v/>
      </c>
      <c r="AW116" s="28" t="str">
        <f aca="false">IF($A116="","",IF(N(AS115)&gt;0,AV115,AW115))</f>
        <v/>
      </c>
      <c r="AX116" s="27" t="str">
        <f aca="false">IF(OR(AU116="",AW116=""),"",(AU116-AW116)*24)</f>
        <v/>
      </c>
      <c r="AY116" s="21" t="n">
        <f aca="false">IF($A116="","",IF(N(AS116)&gt;0,N(AY115)+1,0))</f>
        <v>0</v>
      </c>
      <c r="AZ116" s="21" t="n">
        <f aca="false">IF($A116="","",IF(N(AT116)&gt;0,N(AZ115)+1,0))</f>
        <v>0</v>
      </c>
      <c r="BA116" s="21" t="str">
        <f aca="false">IF($A116="","",IF(WEEKDAY($A116,2)&lt;&gt;7,"",IF(AND(OR(AU116="",N(AU116)&gt;=$A116+16/24,N(AV116)&lt;=$A116+6/24),OR(AW116="",N(AW116)&lt;=$A116+6/24)),1,0)))</f>
        <v/>
      </c>
    </row>
    <row r="117" customFormat="false" ht="15" hidden="false" customHeight="false" outlineLevel="0" collapsed="false">
      <c r="A117" s="25" t="n">
        <f aca="false">IF(YEAR(DATE(Einstellungen!$C$4,1,1)+112)=Einstellungen!$C$4,DATE(Einstellungen!$C$4,1,1)+112,"")</f>
        <v>46500</v>
      </c>
      <c r="B117" s="26" t="str">
        <f aca="false">IF($A117="","",CHOOSE(WEEKDAY($A117,2),"Mo","Di","Mi","Do","Fr","Sa","So"))</f>
        <v>Fr</v>
      </c>
      <c r="C117" s="26" t="n">
        <f aca="false">IF($A117="","",MONTH($A117))</f>
        <v>4</v>
      </c>
      <c r="D117" s="26" t="str">
        <f aca="false">IF($A117="","",IF(INDEX(Muster!$C$6:$BF$6,1,MOD($A117-Einstellungen!$C$6,Einstellungen!$C$7)+1)="","-",INDEX(Muster!$C$6:$BF$6,1,MOD($A117-Einstellungen!$C$6,Einstellungen!$C$7)+1)))</f>
        <v>N</v>
      </c>
      <c r="E117" s="27" t="n">
        <f aca="false">IF($A117="","",IFERROR(VLOOKUP(D117,Schichten!$A$5:$G$24,6,FALSE()),0))</f>
        <v>8</v>
      </c>
      <c r="F117" s="27" t="n">
        <f aca="false">IF($A117="","",IFERROR(VLOOKUP(D117,Schichten!$A$5:$G$24,7,FALSE()),0))</f>
        <v>7</v>
      </c>
      <c r="G117" s="28" t="n">
        <f aca="false">IF($A117="","",IF(N(E117)=0,"",$A117+VLOOKUP(D117,Schichten!$A$5:$G$24,3,FALSE())))</f>
        <v>46500.9166666667</v>
      </c>
      <c r="H117" s="28" t="n">
        <f aca="false">IF(G117="","",$A117+VLOOKUP(D117,Schichten!$A$5:$G$24,4,FALSE())+IF(VLOOKUP(D117,Schichten!$A$5:$G$24,4,FALSE())&lt;=VLOOKUP(D117,Schichten!$A$5:$G$24,3,FALSE()),1,0))</f>
        <v>46501.25</v>
      </c>
      <c r="I117" s="28" t="n">
        <f aca="false">IF($A117="","",IF(N(E116)&gt;0,H116,I116))</f>
        <v>46500.25</v>
      </c>
      <c r="J117" s="27" t="n">
        <f aca="false">IF(OR(G117="",I117=""),"",(G117-I117)*24)</f>
        <v>16</v>
      </c>
      <c r="K117" s="21" t="n">
        <f aca="false">IF($A117="","",IF(N(E117)&gt;0,N(K116)+1,0))</f>
        <v>6</v>
      </c>
      <c r="L117" s="21" t="n">
        <f aca="false">IF($A117="","",IF(N(F117)&gt;0,N(L116)+1,0))</f>
        <v>2</v>
      </c>
      <c r="M117" s="21" t="str">
        <f aca="false">IF($A117="","",IF(WEEKDAY($A117,2)&lt;&gt;7,"",IF(AND(OR(G117="",N(G117)&gt;=$A117+16/24,N(H117)&lt;=$A117+6/24),OR(I117="",N(I117)&lt;=$A117+6/24)),1,0)))</f>
        <v/>
      </c>
      <c r="N117" s="26" t="str">
        <f aca="false">IF($A117="","",IF(INDEX(Muster!$C$7:$BF$7,1,MOD($A117-Einstellungen!$C$6,Einstellungen!$C$7)+1)="","-",INDEX(Muster!$C$7:$BF$7,1,MOD($A117-Einstellungen!$C$6,Einstellungen!$C$7)+1)))</f>
        <v>S</v>
      </c>
      <c r="O117" s="27" t="n">
        <f aca="false">IF($A117="","",IFERROR(VLOOKUP(N117,Schichten!$A$5:$G$24,6,FALSE()),0))</f>
        <v>8</v>
      </c>
      <c r="P117" s="27" t="n">
        <f aca="false">IF($A117="","",IFERROR(VLOOKUP(N117,Schichten!$A$5:$G$24,7,FALSE()),0))</f>
        <v>0</v>
      </c>
      <c r="Q117" s="28" t="n">
        <f aca="false">IF($A117="","",IF(N(O117)=0,"",$A117+VLOOKUP(N117,Schichten!$A$5:$G$24,3,FALSE())))</f>
        <v>46500.5833333333</v>
      </c>
      <c r="R117" s="28" t="n">
        <f aca="false">IF(Q117="","",$A117+VLOOKUP(N117,Schichten!$A$5:$G$24,4,FALSE())+IF(VLOOKUP(N117,Schichten!$A$5:$G$24,4,FALSE())&lt;=VLOOKUP(N117,Schichten!$A$5:$G$24,3,FALSE()),1,0))</f>
        <v>46500.9166666667</v>
      </c>
      <c r="S117" s="28" t="n">
        <f aca="false">IF($A117="","",IF(N(O116)&gt;0,R116,S116))</f>
        <v>46499.9166666667</v>
      </c>
      <c r="T117" s="27" t="n">
        <f aca="false">IF(OR(Q117="",S117=""),"",(Q117-S117)*24)</f>
        <v>16</v>
      </c>
      <c r="U117" s="21" t="n">
        <f aca="false">IF($A117="","",IF(N(O117)&gt;0,N(U116)+1,0))</f>
        <v>4</v>
      </c>
      <c r="V117" s="21" t="n">
        <f aca="false">IF($A117="","",IF(N(P117)&gt;0,N(V116)+1,0))</f>
        <v>0</v>
      </c>
      <c r="W117" s="21" t="str">
        <f aca="false">IF($A117="","",IF(WEEKDAY($A117,2)&lt;&gt;7,"",IF(AND(OR(Q117="",N(Q117)&gt;=$A117+16/24,N(R117)&lt;=$A117+6/24),OR(S117="",N(S117)&lt;=$A117+6/24)),1,0)))</f>
        <v/>
      </c>
      <c r="X117" s="26" t="str">
        <f aca="false">IF($A117="","",IF(INDEX(Muster!$C$8:$BF$8,1,MOD($A117-Einstellungen!$C$6,Einstellungen!$C$7)+1)="","-",INDEX(Muster!$C$8:$BF$8,1,MOD($A117-Einstellungen!$C$6,Einstellungen!$C$7)+1)))</f>
        <v>F</v>
      </c>
      <c r="Y117" s="27" t="n">
        <f aca="false">IF($A117="","",IFERROR(VLOOKUP(X117,Schichten!$A$5:$G$24,6,FALSE()),0))</f>
        <v>8</v>
      </c>
      <c r="Z117" s="27" t="n">
        <f aca="false">IF($A117="","",IFERROR(VLOOKUP(X117,Schichten!$A$5:$G$24,7,FALSE()),0))</f>
        <v>0</v>
      </c>
      <c r="AA117" s="28" t="n">
        <f aca="false">IF($A117="","",IF(N(Y117)=0,"",$A117+VLOOKUP(X117,Schichten!$A$5:$G$24,3,FALSE())))</f>
        <v>46500.25</v>
      </c>
      <c r="AB117" s="28" t="n">
        <f aca="false">IF(AA117="","",$A117+VLOOKUP(X117,Schichten!$A$5:$G$24,4,FALSE())+IF(VLOOKUP(X117,Schichten!$A$5:$G$24,4,FALSE())&lt;=VLOOKUP(X117,Schichten!$A$5:$G$24,3,FALSE()),1,0))</f>
        <v>46500.5833333333</v>
      </c>
      <c r="AC117" s="28" t="n">
        <f aca="false">IF($A117="","",IF(N(Y116)&gt;0,AB116,AC116))</f>
        <v>46499.5833333333</v>
      </c>
      <c r="AD117" s="27" t="n">
        <f aca="false">IF(OR(AA117="",AC117=""),"",(AA117-AC117)*24)</f>
        <v>16</v>
      </c>
      <c r="AE117" s="21" t="n">
        <f aca="false">IF($A117="","",IF(N(Y117)&gt;0,N(AE116)+1,0))</f>
        <v>2</v>
      </c>
      <c r="AF117" s="21" t="n">
        <f aca="false">IF($A117="","",IF(N(Z117)&gt;0,N(AF116)+1,0))</f>
        <v>0</v>
      </c>
      <c r="AG117" s="21" t="str">
        <f aca="false">IF($A117="","",IF(WEEKDAY($A117,2)&lt;&gt;7,"",IF(AND(OR(AA117="",N(AA117)&gt;=$A117+16/24,N(AB117)&lt;=$A117+6/24),OR(AC117="",N(AC117)&lt;=$A117+6/24)),1,0)))</f>
        <v/>
      </c>
      <c r="AH117" s="26" t="str">
        <f aca="false">IF($A117="","",IF(INDEX(Muster!$C$9:$BF$9,1,MOD($A117-Einstellungen!$C$6,Einstellungen!$C$7)+1)="","-",INDEX(Muster!$C$9:$BF$9,1,MOD($A117-Einstellungen!$C$6,Einstellungen!$C$7)+1)))</f>
        <v>-</v>
      </c>
      <c r="AI117" s="27" t="n">
        <f aca="false">IF($A117="","",IFERROR(VLOOKUP(AH117,Schichten!$A$5:$G$24,6,FALSE()),0))</f>
        <v>0</v>
      </c>
      <c r="AJ117" s="27" t="n">
        <f aca="false">IF($A117="","",IFERROR(VLOOKUP(AH117,Schichten!$A$5:$G$24,7,FALSE()),0))</f>
        <v>0</v>
      </c>
      <c r="AK117" s="28" t="str">
        <f aca="false">IF($A117="","",IF(N(AI117)=0,"",$A117+VLOOKUP(AH117,Schichten!$A$5:$G$24,3,FALSE())))</f>
        <v/>
      </c>
      <c r="AL117" s="28" t="str">
        <f aca="false">IF(AK117="","",$A117+VLOOKUP(AH117,Schichten!$A$5:$G$24,4,FALSE())+IF(VLOOKUP(AH117,Schichten!$A$5:$G$24,4,FALSE())&lt;=VLOOKUP(AH117,Schichten!$A$5:$G$24,3,FALSE()),1,0))</f>
        <v/>
      </c>
      <c r="AM117" s="28" t="n">
        <f aca="false">IF($A117="","",IF(N(AI116)&gt;0,AL116,AM116))</f>
        <v>46499.25</v>
      </c>
      <c r="AN117" s="27" t="str">
        <f aca="false">IF(OR(AK117="",AM117=""),"",(AK117-AM117)*24)</f>
        <v/>
      </c>
      <c r="AO117" s="21" t="n">
        <f aca="false">IF($A117="","",IF(N(AI117)&gt;0,N(AO116)+1,0))</f>
        <v>0</v>
      </c>
      <c r="AP117" s="21" t="n">
        <f aca="false">IF($A117="","",IF(N(AJ117)&gt;0,N(AP116)+1,0))</f>
        <v>0</v>
      </c>
      <c r="AQ117" s="21" t="str">
        <f aca="false">IF($A117="","",IF(WEEKDAY($A117,2)&lt;&gt;7,"",IF(AND(OR(AK117="",N(AK117)&gt;=$A117+16/24,N(AL117)&lt;=$A117+6/24),OR(AM117="",N(AM117)&lt;=$A117+6/24)),1,0)))</f>
        <v/>
      </c>
      <c r="AR117" s="26" t="str">
        <f aca="false">IF($A117="","",IF(INDEX(Muster!$C$10:$BF$10,1,MOD($A117-Einstellungen!$C$6,Einstellungen!$C$7)+1)="","-",INDEX(Muster!$C$10:$BF$10,1,MOD($A117-Einstellungen!$C$6,Einstellungen!$C$7)+1)))</f>
        <v>-</v>
      </c>
      <c r="AS117" s="27" t="n">
        <f aca="false">IF($A117="","",IFERROR(VLOOKUP(AR117,Schichten!$A$5:$G$24,6,FALSE()),0))</f>
        <v>0</v>
      </c>
      <c r="AT117" s="27" t="n">
        <f aca="false">IF($A117="","",IFERROR(VLOOKUP(AR117,Schichten!$A$5:$G$24,7,FALSE()),0))</f>
        <v>0</v>
      </c>
      <c r="AU117" s="28" t="str">
        <f aca="false">IF($A117="","",IF(N(AS117)=0,"",$A117+VLOOKUP(AR117,Schichten!$A$5:$G$24,3,FALSE())))</f>
        <v/>
      </c>
      <c r="AV117" s="28" t="str">
        <f aca="false">IF(AU117="","",$A117+VLOOKUP(AR117,Schichten!$A$5:$G$24,4,FALSE())+IF(VLOOKUP(AR117,Schichten!$A$5:$G$24,4,FALSE())&lt;=VLOOKUP(AR117,Schichten!$A$5:$G$24,3,FALSE()),1,0))</f>
        <v/>
      </c>
      <c r="AW117" s="28" t="str">
        <f aca="false">IF($A117="","",IF(N(AS116)&gt;0,AV116,AW116))</f>
        <v/>
      </c>
      <c r="AX117" s="27" t="str">
        <f aca="false">IF(OR(AU117="",AW117=""),"",(AU117-AW117)*24)</f>
        <v/>
      </c>
      <c r="AY117" s="21" t="n">
        <f aca="false">IF($A117="","",IF(N(AS117)&gt;0,N(AY116)+1,0))</f>
        <v>0</v>
      </c>
      <c r="AZ117" s="21" t="n">
        <f aca="false">IF($A117="","",IF(N(AT117)&gt;0,N(AZ116)+1,0))</f>
        <v>0</v>
      </c>
      <c r="BA117" s="21" t="str">
        <f aca="false">IF($A117="","",IF(WEEKDAY($A117,2)&lt;&gt;7,"",IF(AND(OR(AU117="",N(AU117)&gt;=$A117+16/24,N(AV117)&lt;=$A117+6/24),OR(AW117="",N(AW117)&lt;=$A117+6/24)),1,0)))</f>
        <v/>
      </c>
    </row>
    <row r="118" customFormat="false" ht="15" hidden="false" customHeight="false" outlineLevel="0" collapsed="false">
      <c r="A118" s="25" t="n">
        <f aca="false">IF(YEAR(DATE(Einstellungen!$C$4,1,1)+113)=Einstellungen!$C$4,DATE(Einstellungen!$C$4,1,1)+113,"")</f>
        <v>46501</v>
      </c>
      <c r="B118" s="26" t="str">
        <f aca="false">IF($A118="","",CHOOSE(WEEKDAY($A118,2),"Mo","Di","Mi","Do","Fr","Sa","So"))</f>
        <v>Sa</v>
      </c>
      <c r="C118" s="26" t="n">
        <f aca="false">IF($A118="","",MONTH($A118))</f>
        <v>4</v>
      </c>
      <c r="D118" s="26" t="str">
        <f aca="false">IF($A118="","",IF(INDEX(Muster!$C$6:$BF$6,1,MOD($A118-Einstellungen!$C$6,Einstellungen!$C$7)+1)="","-",INDEX(Muster!$C$6:$BF$6,1,MOD($A118-Einstellungen!$C$6,Einstellungen!$C$7)+1)))</f>
        <v>-</v>
      </c>
      <c r="E118" s="27" t="n">
        <f aca="false">IF($A118="","",IFERROR(VLOOKUP(D118,Schichten!$A$5:$G$24,6,FALSE()),0))</f>
        <v>0</v>
      </c>
      <c r="F118" s="27" t="n">
        <f aca="false">IF($A118="","",IFERROR(VLOOKUP(D118,Schichten!$A$5:$G$24,7,FALSE()),0))</f>
        <v>0</v>
      </c>
      <c r="G118" s="28" t="str">
        <f aca="false">IF($A118="","",IF(N(E118)=0,"",$A118+VLOOKUP(D118,Schichten!$A$5:$G$24,3,FALSE())))</f>
        <v/>
      </c>
      <c r="H118" s="28" t="str">
        <f aca="false">IF(G118="","",$A118+VLOOKUP(D118,Schichten!$A$5:$G$24,4,FALSE())+IF(VLOOKUP(D118,Schichten!$A$5:$G$24,4,FALSE())&lt;=VLOOKUP(D118,Schichten!$A$5:$G$24,3,FALSE()),1,0))</f>
        <v/>
      </c>
      <c r="I118" s="28" t="n">
        <f aca="false">IF($A118="","",IF(N(E117)&gt;0,H117,I117))</f>
        <v>46501.25</v>
      </c>
      <c r="J118" s="27" t="str">
        <f aca="false">IF(OR(G118="",I118=""),"",(G118-I118)*24)</f>
        <v/>
      </c>
      <c r="K118" s="21" t="n">
        <f aca="false">IF($A118="","",IF(N(E118)&gt;0,N(K117)+1,0))</f>
        <v>0</v>
      </c>
      <c r="L118" s="21" t="n">
        <f aca="false">IF($A118="","",IF(N(F118)&gt;0,N(L117)+1,0))</f>
        <v>0</v>
      </c>
      <c r="M118" s="21" t="str">
        <f aca="false">IF($A118="","",IF(WEEKDAY($A118,2)&lt;&gt;7,"",IF(AND(OR(G118="",N(G118)&gt;=$A118+16/24,N(H118)&lt;=$A118+6/24),OR(I118="",N(I118)&lt;=$A118+6/24)),1,0)))</f>
        <v/>
      </c>
      <c r="N118" s="26" t="str">
        <f aca="false">IF($A118="","",IF(INDEX(Muster!$C$7:$BF$7,1,MOD($A118-Einstellungen!$C$6,Einstellungen!$C$7)+1)="","-",INDEX(Muster!$C$7:$BF$7,1,MOD($A118-Einstellungen!$C$6,Einstellungen!$C$7)+1)))</f>
        <v>N</v>
      </c>
      <c r="O118" s="27" t="n">
        <f aca="false">IF($A118="","",IFERROR(VLOOKUP(N118,Schichten!$A$5:$G$24,6,FALSE()),0))</f>
        <v>8</v>
      </c>
      <c r="P118" s="27" t="n">
        <f aca="false">IF($A118="","",IFERROR(VLOOKUP(N118,Schichten!$A$5:$G$24,7,FALSE()),0))</f>
        <v>7</v>
      </c>
      <c r="Q118" s="28" t="n">
        <f aca="false">IF($A118="","",IF(N(O118)=0,"",$A118+VLOOKUP(N118,Schichten!$A$5:$G$24,3,FALSE())))</f>
        <v>46501.9166666667</v>
      </c>
      <c r="R118" s="28" t="n">
        <f aca="false">IF(Q118="","",$A118+VLOOKUP(N118,Schichten!$A$5:$G$24,4,FALSE())+IF(VLOOKUP(N118,Schichten!$A$5:$G$24,4,FALSE())&lt;=VLOOKUP(N118,Schichten!$A$5:$G$24,3,FALSE()),1,0))</f>
        <v>46502.25</v>
      </c>
      <c r="S118" s="28" t="n">
        <f aca="false">IF($A118="","",IF(N(O117)&gt;0,R117,S117))</f>
        <v>46500.9166666667</v>
      </c>
      <c r="T118" s="27" t="n">
        <f aca="false">IF(OR(Q118="",S118=""),"",(Q118-S118)*24)</f>
        <v>24</v>
      </c>
      <c r="U118" s="21" t="n">
        <f aca="false">IF($A118="","",IF(N(O118)&gt;0,N(U117)+1,0))</f>
        <v>5</v>
      </c>
      <c r="V118" s="21" t="n">
        <f aca="false">IF($A118="","",IF(N(P118)&gt;0,N(V117)+1,0))</f>
        <v>1</v>
      </c>
      <c r="W118" s="21" t="str">
        <f aca="false">IF($A118="","",IF(WEEKDAY($A118,2)&lt;&gt;7,"",IF(AND(OR(Q118="",N(Q118)&gt;=$A118+16/24,N(R118)&lt;=$A118+6/24),OR(S118="",N(S118)&lt;=$A118+6/24)),1,0)))</f>
        <v/>
      </c>
      <c r="X118" s="26" t="str">
        <f aca="false">IF($A118="","",IF(INDEX(Muster!$C$8:$BF$8,1,MOD($A118-Einstellungen!$C$6,Einstellungen!$C$7)+1)="","-",INDEX(Muster!$C$8:$BF$8,1,MOD($A118-Einstellungen!$C$6,Einstellungen!$C$7)+1)))</f>
        <v>S</v>
      </c>
      <c r="Y118" s="27" t="n">
        <f aca="false">IF($A118="","",IFERROR(VLOOKUP(X118,Schichten!$A$5:$G$24,6,FALSE()),0))</f>
        <v>8</v>
      </c>
      <c r="Z118" s="27" t="n">
        <f aca="false">IF($A118="","",IFERROR(VLOOKUP(X118,Schichten!$A$5:$G$24,7,FALSE()),0))</f>
        <v>0</v>
      </c>
      <c r="AA118" s="28" t="n">
        <f aca="false">IF($A118="","",IF(N(Y118)=0,"",$A118+VLOOKUP(X118,Schichten!$A$5:$G$24,3,FALSE())))</f>
        <v>46501.5833333333</v>
      </c>
      <c r="AB118" s="28" t="n">
        <f aca="false">IF(AA118="","",$A118+VLOOKUP(X118,Schichten!$A$5:$G$24,4,FALSE())+IF(VLOOKUP(X118,Schichten!$A$5:$G$24,4,FALSE())&lt;=VLOOKUP(X118,Schichten!$A$5:$G$24,3,FALSE()),1,0))</f>
        <v>46501.9166666667</v>
      </c>
      <c r="AC118" s="28" t="n">
        <f aca="false">IF($A118="","",IF(N(Y117)&gt;0,AB117,AC117))</f>
        <v>46500.5833333333</v>
      </c>
      <c r="AD118" s="27" t="n">
        <f aca="false">IF(OR(AA118="",AC118=""),"",(AA118-AC118)*24)</f>
        <v>24</v>
      </c>
      <c r="AE118" s="21" t="n">
        <f aca="false">IF($A118="","",IF(N(Y118)&gt;0,N(AE117)+1,0))</f>
        <v>3</v>
      </c>
      <c r="AF118" s="21" t="n">
        <f aca="false">IF($A118="","",IF(N(Z118)&gt;0,N(AF117)+1,0))</f>
        <v>0</v>
      </c>
      <c r="AG118" s="21" t="str">
        <f aca="false">IF($A118="","",IF(WEEKDAY($A118,2)&lt;&gt;7,"",IF(AND(OR(AA118="",N(AA118)&gt;=$A118+16/24,N(AB118)&lt;=$A118+6/24),OR(AC118="",N(AC118)&lt;=$A118+6/24)),1,0)))</f>
        <v/>
      </c>
      <c r="AH118" s="26" t="str">
        <f aca="false">IF($A118="","",IF(INDEX(Muster!$C$9:$BF$9,1,MOD($A118-Einstellungen!$C$6,Einstellungen!$C$7)+1)="","-",INDEX(Muster!$C$9:$BF$9,1,MOD($A118-Einstellungen!$C$6,Einstellungen!$C$7)+1)))</f>
        <v>F</v>
      </c>
      <c r="AI118" s="27" t="n">
        <f aca="false">IF($A118="","",IFERROR(VLOOKUP(AH118,Schichten!$A$5:$G$24,6,FALSE()),0))</f>
        <v>8</v>
      </c>
      <c r="AJ118" s="27" t="n">
        <f aca="false">IF($A118="","",IFERROR(VLOOKUP(AH118,Schichten!$A$5:$G$24,7,FALSE()),0))</f>
        <v>0</v>
      </c>
      <c r="AK118" s="28" t="n">
        <f aca="false">IF($A118="","",IF(N(AI118)=0,"",$A118+VLOOKUP(AH118,Schichten!$A$5:$G$24,3,FALSE())))</f>
        <v>46501.25</v>
      </c>
      <c r="AL118" s="28" t="n">
        <f aca="false">IF(AK118="","",$A118+VLOOKUP(AH118,Schichten!$A$5:$G$24,4,FALSE())+IF(VLOOKUP(AH118,Schichten!$A$5:$G$24,4,FALSE())&lt;=VLOOKUP(AH118,Schichten!$A$5:$G$24,3,FALSE()),1,0))</f>
        <v>46501.5833333333</v>
      </c>
      <c r="AM118" s="28" t="n">
        <f aca="false">IF($A118="","",IF(N(AI117)&gt;0,AL117,AM117))</f>
        <v>46499.25</v>
      </c>
      <c r="AN118" s="27" t="n">
        <f aca="false">IF(OR(AK118="",AM118=""),"",(AK118-AM118)*24)</f>
        <v>48</v>
      </c>
      <c r="AO118" s="21" t="n">
        <f aca="false">IF($A118="","",IF(N(AI118)&gt;0,N(AO117)+1,0))</f>
        <v>1</v>
      </c>
      <c r="AP118" s="21" t="n">
        <f aca="false">IF($A118="","",IF(N(AJ118)&gt;0,N(AP117)+1,0))</f>
        <v>0</v>
      </c>
      <c r="AQ118" s="21" t="str">
        <f aca="false">IF($A118="","",IF(WEEKDAY($A118,2)&lt;&gt;7,"",IF(AND(OR(AK118="",N(AK118)&gt;=$A118+16/24,N(AL118)&lt;=$A118+6/24),OR(AM118="",N(AM118)&lt;=$A118+6/24)),1,0)))</f>
        <v/>
      </c>
      <c r="AR118" s="26" t="str">
        <f aca="false">IF($A118="","",IF(INDEX(Muster!$C$10:$BF$10,1,MOD($A118-Einstellungen!$C$6,Einstellungen!$C$7)+1)="","-",INDEX(Muster!$C$10:$BF$10,1,MOD($A118-Einstellungen!$C$6,Einstellungen!$C$7)+1)))</f>
        <v>-</v>
      </c>
      <c r="AS118" s="27" t="n">
        <f aca="false">IF($A118="","",IFERROR(VLOOKUP(AR118,Schichten!$A$5:$G$24,6,FALSE()),0))</f>
        <v>0</v>
      </c>
      <c r="AT118" s="27" t="n">
        <f aca="false">IF($A118="","",IFERROR(VLOOKUP(AR118,Schichten!$A$5:$G$24,7,FALSE()),0))</f>
        <v>0</v>
      </c>
      <c r="AU118" s="28" t="str">
        <f aca="false">IF($A118="","",IF(N(AS118)=0,"",$A118+VLOOKUP(AR118,Schichten!$A$5:$G$24,3,FALSE())))</f>
        <v/>
      </c>
      <c r="AV118" s="28" t="str">
        <f aca="false">IF(AU118="","",$A118+VLOOKUP(AR118,Schichten!$A$5:$G$24,4,FALSE())+IF(VLOOKUP(AR118,Schichten!$A$5:$G$24,4,FALSE())&lt;=VLOOKUP(AR118,Schichten!$A$5:$G$24,3,FALSE()),1,0))</f>
        <v/>
      </c>
      <c r="AW118" s="28" t="str">
        <f aca="false">IF($A118="","",IF(N(AS117)&gt;0,AV117,AW117))</f>
        <v/>
      </c>
      <c r="AX118" s="27" t="str">
        <f aca="false">IF(OR(AU118="",AW118=""),"",(AU118-AW118)*24)</f>
        <v/>
      </c>
      <c r="AY118" s="21" t="n">
        <f aca="false">IF($A118="","",IF(N(AS118)&gt;0,N(AY117)+1,0))</f>
        <v>0</v>
      </c>
      <c r="AZ118" s="21" t="n">
        <f aca="false">IF($A118="","",IF(N(AT118)&gt;0,N(AZ117)+1,0))</f>
        <v>0</v>
      </c>
      <c r="BA118" s="21" t="str">
        <f aca="false">IF($A118="","",IF(WEEKDAY($A118,2)&lt;&gt;7,"",IF(AND(OR(AU118="",N(AU118)&gt;=$A118+16/24,N(AV118)&lt;=$A118+6/24),OR(AW118="",N(AW118)&lt;=$A118+6/24)),1,0)))</f>
        <v/>
      </c>
    </row>
    <row r="119" customFormat="false" ht="15" hidden="false" customHeight="false" outlineLevel="0" collapsed="false">
      <c r="A119" s="25" t="n">
        <f aca="false">IF(YEAR(DATE(Einstellungen!$C$4,1,1)+114)=Einstellungen!$C$4,DATE(Einstellungen!$C$4,1,1)+114,"")</f>
        <v>46502</v>
      </c>
      <c r="B119" s="26" t="str">
        <f aca="false">IF($A119="","",CHOOSE(WEEKDAY($A119,2),"Mo","Di","Mi","Do","Fr","Sa","So"))</f>
        <v>So</v>
      </c>
      <c r="C119" s="26" t="n">
        <f aca="false">IF($A119="","",MONTH($A119))</f>
        <v>4</v>
      </c>
      <c r="D119" s="26" t="str">
        <f aca="false">IF($A119="","",IF(INDEX(Muster!$C$6:$BF$6,1,MOD($A119-Einstellungen!$C$6,Einstellungen!$C$7)+1)="","-",INDEX(Muster!$C$6:$BF$6,1,MOD($A119-Einstellungen!$C$6,Einstellungen!$C$7)+1)))</f>
        <v>-</v>
      </c>
      <c r="E119" s="27" t="n">
        <f aca="false">IF($A119="","",IFERROR(VLOOKUP(D119,Schichten!$A$5:$G$24,6,FALSE()),0))</f>
        <v>0</v>
      </c>
      <c r="F119" s="27" t="n">
        <f aca="false">IF($A119="","",IFERROR(VLOOKUP(D119,Schichten!$A$5:$G$24,7,FALSE()),0))</f>
        <v>0</v>
      </c>
      <c r="G119" s="28" t="str">
        <f aca="false">IF($A119="","",IF(N(E119)=0,"",$A119+VLOOKUP(D119,Schichten!$A$5:$G$24,3,FALSE())))</f>
        <v/>
      </c>
      <c r="H119" s="28" t="str">
        <f aca="false">IF(G119="","",$A119+VLOOKUP(D119,Schichten!$A$5:$G$24,4,FALSE())+IF(VLOOKUP(D119,Schichten!$A$5:$G$24,4,FALSE())&lt;=VLOOKUP(D119,Schichten!$A$5:$G$24,3,FALSE()),1,0))</f>
        <v/>
      </c>
      <c r="I119" s="28" t="n">
        <f aca="false">IF($A119="","",IF(N(E118)&gt;0,H118,I118))</f>
        <v>46501.25</v>
      </c>
      <c r="J119" s="27" t="str">
        <f aca="false">IF(OR(G119="",I119=""),"",(G119-I119)*24)</f>
        <v/>
      </c>
      <c r="K119" s="21" t="n">
        <f aca="false">IF($A119="","",IF(N(E119)&gt;0,N(K118)+1,0))</f>
        <v>0</v>
      </c>
      <c r="L119" s="21" t="n">
        <f aca="false">IF($A119="","",IF(N(F119)&gt;0,N(L118)+1,0))</f>
        <v>0</v>
      </c>
      <c r="M119" s="21" t="n">
        <f aca="false">IF($A119="","",IF(WEEKDAY($A119,2)&lt;&gt;7,"",IF(AND(OR(G119="",N(G119)&gt;=$A119+16/24,N(H119)&lt;=$A119+6/24),OR(I119="",N(I119)&lt;=$A119+6/24)),1,0)))</f>
        <v>1</v>
      </c>
      <c r="N119" s="26" t="str">
        <f aca="false">IF($A119="","",IF(INDEX(Muster!$C$7:$BF$7,1,MOD($A119-Einstellungen!$C$6,Einstellungen!$C$7)+1)="","-",INDEX(Muster!$C$7:$BF$7,1,MOD($A119-Einstellungen!$C$6,Einstellungen!$C$7)+1)))</f>
        <v>N</v>
      </c>
      <c r="O119" s="27" t="n">
        <f aca="false">IF($A119="","",IFERROR(VLOOKUP(N119,Schichten!$A$5:$G$24,6,FALSE()),0))</f>
        <v>8</v>
      </c>
      <c r="P119" s="27" t="n">
        <f aca="false">IF($A119="","",IFERROR(VLOOKUP(N119,Schichten!$A$5:$G$24,7,FALSE()),0))</f>
        <v>7</v>
      </c>
      <c r="Q119" s="28" t="n">
        <f aca="false">IF($A119="","",IF(N(O119)=0,"",$A119+VLOOKUP(N119,Schichten!$A$5:$G$24,3,FALSE())))</f>
        <v>46502.9166666667</v>
      </c>
      <c r="R119" s="28" t="n">
        <f aca="false">IF(Q119="","",$A119+VLOOKUP(N119,Schichten!$A$5:$G$24,4,FALSE())+IF(VLOOKUP(N119,Schichten!$A$5:$G$24,4,FALSE())&lt;=VLOOKUP(N119,Schichten!$A$5:$G$24,3,FALSE()),1,0))</f>
        <v>46503.25</v>
      </c>
      <c r="S119" s="28" t="n">
        <f aca="false">IF($A119="","",IF(N(O118)&gt;0,R118,S118))</f>
        <v>46502.25</v>
      </c>
      <c r="T119" s="27" t="n">
        <f aca="false">IF(OR(Q119="",S119=""),"",(Q119-S119)*24)</f>
        <v>16</v>
      </c>
      <c r="U119" s="21" t="n">
        <f aca="false">IF($A119="","",IF(N(O119)&gt;0,N(U118)+1,0))</f>
        <v>6</v>
      </c>
      <c r="V119" s="21" t="n">
        <f aca="false">IF($A119="","",IF(N(P119)&gt;0,N(V118)+1,0))</f>
        <v>2</v>
      </c>
      <c r="W119" s="21" t="n">
        <f aca="false">IF($A119="","",IF(WEEKDAY($A119,2)&lt;&gt;7,"",IF(AND(OR(Q119="",N(Q119)&gt;=$A119+16/24,N(R119)&lt;=$A119+6/24),OR(S119="",N(S119)&lt;=$A119+6/24)),1,0)))</f>
        <v>1</v>
      </c>
      <c r="X119" s="26" t="str">
        <f aca="false">IF($A119="","",IF(INDEX(Muster!$C$8:$BF$8,1,MOD($A119-Einstellungen!$C$6,Einstellungen!$C$7)+1)="","-",INDEX(Muster!$C$8:$BF$8,1,MOD($A119-Einstellungen!$C$6,Einstellungen!$C$7)+1)))</f>
        <v>S</v>
      </c>
      <c r="Y119" s="27" t="n">
        <f aca="false">IF($A119="","",IFERROR(VLOOKUP(X119,Schichten!$A$5:$G$24,6,FALSE()),0))</f>
        <v>8</v>
      </c>
      <c r="Z119" s="27" t="n">
        <f aca="false">IF($A119="","",IFERROR(VLOOKUP(X119,Schichten!$A$5:$G$24,7,FALSE()),0))</f>
        <v>0</v>
      </c>
      <c r="AA119" s="28" t="n">
        <f aca="false">IF($A119="","",IF(N(Y119)=0,"",$A119+VLOOKUP(X119,Schichten!$A$5:$G$24,3,FALSE())))</f>
        <v>46502.5833333333</v>
      </c>
      <c r="AB119" s="28" t="n">
        <f aca="false">IF(AA119="","",$A119+VLOOKUP(X119,Schichten!$A$5:$G$24,4,FALSE())+IF(VLOOKUP(X119,Schichten!$A$5:$G$24,4,FALSE())&lt;=VLOOKUP(X119,Schichten!$A$5:$G$24,3,FALSE()),1,0))</f>
        <v>46502.9166666667</v>
      </c>
      <c r="AC119" s="28" t="n">
        <f aca="false">IF($A119="","",IF(N(Y118)&gt;0,AB118,AC118))</f>
        <v>46501.9166666667</v>
      </c>
      <c r="AD119" s="27" t="n">
        <f aca="false">IF(OR(AA119="",AC119=""),"",(AA119-AC119)*24)</f>
        <v>16</v>
      </c>
      <c r="AE119" s="21" t="n">
        <f aca="false">IF($A119="","",IF(N(Y119)&gt;0,N(AE118)+1,0))</f>
        <v>4</v>
      </c>
      <c r="AF119" s="21" t="n">
        <f aca="false">IF($A119="","",IF(N(Z119)&gt;0,N(AF118)+1,0))</f>
        <v>0</v>
      </c>
      <c r="AG119" s="21" t="n">
        <f aca="false">IF($A119="","",IF(WEEKDAY($A119,2)&lt;&gt;7,"",IF(AND(OR(AA119="",N(AA119)&gt;=$A119+16/24,N(AB119)&lt;=$A119+6/24),OR(AC119="",N(AC119)&lt;=$A119+6/24)),1,0)))</f>
        <v>0</v>
      </c>
      <c r="AH119" s="26" t="str">
        <f aca="false">IF($A119="","",IF(INDEX(Muster!$C$9:$BF$9,1,MOD($A119-Einstellungen!$C$6,Einstellungen!$C$7)+1)="","-",INDEX(Muster!$C$9:$BF$9,1,MOD($A119-Einstellungen!$C$6,Einstellungen!$C$7)+1)))</f>
        <v>F</v>
      </c>
      <c r="AI119" s="27" t="n">
        <f aca="false">IF($A119="","",IFERROR(VLOOKUP(AH119,Schichten!$A$5:$G$24,6,FALSE()),0))</f>
        <v>8</v>
      </c>
      <c r="AJ119" s="27" t="n">
        <f aca="false">IF($A119="","",IFERROR(VLOOKUP(AH119,Schichten!$A$5:$G$24,7,FALSE()),0))</f>
        <v>0</v>
      </c>
      <c r="AK119" s="28" t="n">
        <f aca="false">IF($A119="","",IF(N(AI119)=0,"",$A119+VLOOKUP(AH119,Schichten!$A$5:$G$24,3,FALSE())))</f>
        <v>46502.25</v>
      </c>
      <c r="AL119" s="28" t="n">
        <f aca="false">IF(AK119="","",$A119+VLOOKUP(AH119,Schichten!$A$5:$G$24,4,FALSE())+IF(VLOOKUP(AH119,Schichten!$A$5:$G$24,4,FALSE())&lt;=VLOOKUP(AH119,Schichten!$A$5:$G$24,3,FALSE()),1,0))</f>
        <v>46502.5833333333</v>
      </c>
      <c r="AM119" s="28" t="n">
        <f aca="false">IF($A119="","",IF(N(AI118)&gt;0,AL118,AM118))</f>
        <v>46501.5833333333</v>
      </c>
      <c r="AN119" s="27" t="n">
        <f aca="false">IF(OR(AK119="",AM119=""),"",(AK119-AM119)*24)</f>
        <v>16</v>
      </c>
      <c r="AO119" s="21" t="n">
        <f aca="false">IF($A119="","",IF(N(AI119)&gt;0,N(AO118)+1,0))</f>
        <v>2</v>
      </c>
      <c r="AP119" s="21" t="n">
        <f aca="false">IF($A119="","",IF(N(AJ119)&gt;0,N(AP118)+1,0))</f>
        <v>0</v>
      </c>
      <c r="AQ119" s="21" t="n">
        <f aca="false">IF($A119="","",IF(WEEKDAY($A119,2)&lt;&gt;7,"",IF(AND(OR(AK119="",N(AK119)&gt;=$A119+16/24,N(AL119)&lt;=$A119+6/24),OR(AM119="",N(AM119)&lt;=$A119+6/24)),1,0)))</f>
        <v>0</v>
      </c>
      <c r="AR119" s="26" t="str">
        <f aca="false">IF($A119="","",IF(INDEX(Muster!$C$10:$BF$10,1,MOD($A119-Einstellungen!$C$6,Einstellungen!$C$7)+1)="","-",INDEX(Muster!$C$10:$BF$10,1,MOD($A119-Einstellungen!$C$6,Einstellungen!$C$7)+1)))</f>
        <v>-</v>
      </c>
      <c r="AS119" s="27" t="n">
        <f aca="false">IF($A119="","",IFERROR(VLOOKUP(AR119,Schichten!$A$5:$G$24,6,FALSE()),0))</f>
        <v>0</v>
      </c>
      <c r="AT119" s="27" t="n">
        <f aca="false">IF($A119="","",IFERROR(VLOOKUP(AR119,Schichten!$A$5:$G$24,7,FALSE()),0))</f>
        <v>0</v>
      </c>
      <c r="AU119" s="28" t="str">
        <f aca="false">IF($A119="","",IF(N(AS119)=0,"",$A119+VLOOKUP(AR119,Schichten!$A$5:$G$24,3,FALSE())))</f>
        <v/>
      </c>
      <c r="AV119" s="28" t="str">
        <f aca="false">IF(AU119="","",$A119+VLOOKUP(AR119,Schichten!$A$5:$G$24,4,FALSE())+IF(VLOOKUP(AR119,Schichten!$A$5:$G$24,4,FALSE())&lt;=VLOOKUP(AR119,Schichten!$A$5:$G$24,3,FALSE()),1,0))</f>
        <v/>
      </c>
      <c r="AW119" s="28" t="str">
        <f aca="false">IF($A119="","",IF(N(AS118)&gt;0,AV118,AW118))</f>
        <v/>
      </c>
      <c r="AX119" s="27" t="str">
        <f aca="false">IF(OR(AU119="",AW119=""),"",(AU119-AW119)*24)</f>
        <v/>
      </c>
      <c r="AY119" s="21" t="n">
        <f aca="false">IF($A119="","",IF(N(AS119)&gt;0,N(AY118)+1,0))</f>
        <v>0</v>
      </c>
      <c r="AZ119" s="21" t="n">
        <f aca="false">IF($A119="","",IF(N(AT119)&gt;0,N(AZ118)+1,0))</f>
        <v>0</v>
      </c>
      <c r="BA119" s="21" t="n">
        <f aca="false">IF($A119="","",IF(WEEKDAY($A119,2)&lt;&gt;7,"",IF(AND(OR(AU119="",N(AU119)&gt;=$A119+16/24,N(AV119)&lt;=$A119+6/24),OR(AW119="",N(AW119)&lt;=$A119+6/24)),1,0)))</f>
        <v>1</v>
      </c>
    </row>
    <row r="120" customFormat="false" ht="15" hidden="false" customHeight="false" outlineLevel="0" collapsed="false">
      <c r="A120" s="25" t="n">
        <f aca="false">IF(YEAR(DATE(Einstellungen!$C$4,1,1)+115)=Einstellungen!$C$4,DATE(Einstellungen!$C$4,1,1)+115,"")</f>
        <v>46503</v>
      </c>
      <c r="B120" s="26" t="str">
        <f aca="false">IF($A120="","",CHOOSE(WEEKDAY($A120,2),"Mo","Di","Mi","Do","Fr","Sa","So"))</f>
        <v>Mo</v>
      </c>
      <c r="C120" s="26" t="n">
        <f aca="false">IF($A120="","",MONTH($A120))</f>
        <v>4</v>
      </c>
      <c r="D120" s="26" t="str">
        <f aca="false">IF($A120="","",IF(INDEX(Muster!$C$6:$BF$6,1,MOD($A120-Einstellungen!$C$6,Einstellungen!$C$7)+1)="","-",INDEX(Muster!$C$6:$BF$6,1,MOD($A120-Einstellungen!$C$6,Einstellungen!$C$7)+1)))</f>
        <v>F</v>
      </c>
      <c r="E120" s="27" t="n">
        <f aca="false">IF($A120="","",IFERROR(VLOOKUP(D120,Schichten!$A$5:$G$24,6,FALSE()),0))</f>
        <v>8</v>
      </c>
      <c r="F120" s="27" t="n">
        <f aca="false">IF($A120="","",IFERROR(VLOOKUP(D120,Schichten!$A$5:$G$24,7,FALSE()),0))</f>
        <v>0</v>
      </c>
      <c r="G120" s="28" t="n">
        <f aca="false">IF($A120="","",IF(N(E120)=0,"",$A120+VLOOKUP(D120,Schichten!$A$5:$G$24,3,FALSE())))</f>
        <v>46503.25</v>
      </c>
      <c r="H120" s="28" t="n">
        <f aca="false">IF(G120="","",$A120+VLOOKUP(D120,Schichten!$A$5:$G$24,4,FALSE())+IF(VLOOKUP(D120,Schichten!$A$5:$G$24,4,FALSE())&lt;=VLOOKUP(D120,Schichten!$A$5:$G$24,3,FALSE()),1,0))</f>
        <v>46503.5833333333</v>
      </c>
      <c r="I120" s="28" t="n">
        <f aca="false">IF($A120="","",IF(N(E119)&gt;0,H119,I119))</f>
        <v>46501.25</v>
      </c>
      <c r="J120" s="27" t="n">
        <f aca="false">IF(OR(G120="",I120=""),"",(G120-I120)*24)</f>
        <v>48</v>
      </c>
      <c r="K120" s="21" t="n">
        <f aca="false">IF($A120="","",IF(N(E120)&gt;0,N(K119)+1,0))</f>
        <v>1</v>
      </c>
      <c r="L120" s="21" t="n">
        <f aca="false">IF($A120="","",IF(N(F120)&gt;0,N(L119)+1,0))</f>
        <v>0</v>
      </c>
      <c r="M120" s="21" t="str">
        <f aca="false">IF($A120="","",IF(WEEKDAY($A120,2)&lt;&gt;7,"",IF(AND(OR(G120="",N(G120)&gt;=$A120+16/24,N(H120)&lt;=$A120+6/24),OR(I120="",N(I120)&lt;=$A120+6/24)),1,0)))</f>
        <v/>
      </c>
      <c r="N120" s="26" t="str">
        <f aca="false">IF($A120="","",IF(INDEX(Muster!$C$7:$BF$7,1,MOD($A120-Einstellungen!$C$6,Einstellungen!$C$7)+1)="","-",INDEX(Muster!$C$7:$BF$7,1,MOD($A120-Einstellungen!$C$6,Einstellungen!$C$7)+1)))</f>
        <v>-</v>
      </c>
      <c r="O120" s="27" t="n">
        <f aca="false">IF($A120="","",IFERROR(VLOOKUP(N120,Schichten!$A$5:$G$24,6,FALSE()),0))</f>
        <v>0</v>
      </c>
      <c r="P120" s="27" t="n">
        <f aca="false">IF($A120="","",IFERROR(VLOOKUP(N120,Schichten!$A$5:$G$24,7,FALSE()),0))</f>
        <v>0</v>
      </c>
      <c r="Q120" s="28" t="str">
        <f aca="false">IF($A120="","",IF(N(O120)=0,"",$A120+VLOOKUP(N120,Schichten!$A$5:$G$24,3,FALSE())))</f>
        <v/>
      </c>
      <c r="R120" s="28" t="str">
        <f aca="false">IF(Q120="","",$A120+VLOOKUP(N120,Schichten!$A$5:$G$24,4,FALSE())+IF(VLOOKUP(N120,Schichten!$A$5:$G$24,4,FALSE())&lt;=VLOOKUP(N120,Schichten!$A$5:$G$24,3,FALSE()),1,0))</f>
        <v/>
      </c>
      <c r="S120" s="28" t="n">
        <f aca="false">IF($A120="","",IF(N(O119)&gt;0,R119,S119))</f>
        <v>46503.25</v>
      </c>
      <c r="T120" s="27" t="str">
        <f aca="false">IF(OR(Q120="",S120=""),"",(Q120-S120)*24)</f>
        <v/>
      </c>
      <c r="U120" s="21" t="n">
        <f aca="false">IF($A120="","",IF(N(O120)&gt;0,N(U119)+1,0))</f>
        <v>0</v>
      </c>
      <c r="V120" s="21" t="n">
        <f aca="false">IF($A120="","",IF(N(P120)&gt;0,N(V119)+1,0))</f>
        <v>0</v>
      </c>
      <c r="W120" s="21" t="str">
        <f aca="false">IF($A120="","",IF(WEEKDAY($A120,2)&lt;&gt;7,"",IF(AND(OR(Q120="",N(Q120)&gt;=$A120+16/24,N(R120)&lt;=$A120+6/24),OR(S120="",N(S120)&lt;=$A120+6/24)),1,0)))</f>
        <v/>
      </c>
      <c r="X120" s="26" t="str">
        <f aca="false">IF($A120="","",IF(INDEX(Muster!$C$8:$BF$8,1,MOD($A120-Einstellungen!$C$6,Einstellungen!$C$7)+1)="","-",INDEX(Muster!$C$8:$BF$8,1,MOD($A120-Einstellungen!$C$6,Einstellungen!$C$7)+1)))</f>
        <v>N</v>
      </c>
      <c r="Y120" s="27" t="n">
        <f aca="false">IF($A120="","",IFERROR(VLOOKUP(X120,Schichten!$A$5:$G$24,6,FALSE()),0))</f>
        <v>8</v>
      </c>
      <c r="Z120" s="27" t="n">
        <f aca="false">IF($A120="","",IFERROR(VLOOKUP(X120,Schichten!$A$5:$G$24,7,FALSE()),0))</f>
        <v>7</v>
      </c>
      <c r="AA120" s="28" t="n">
        <f aca="false">IF($A120="","",IF(N(Y120)=0,"",$A120+VLOOKUP(X120,Schichten!$A$5:$G$24,3,FALSE())))</f>
        <v>46503.9166666667</v>
      </c>
      <c r="AB120" s="28" t="n">
        <f aca="false">IF(AA120="","",$A120+VLOOKUP(X120,Schichten!$A$5:$G$24,4,FALSE())+IF(VLOOKUP(X120,Schichten!$A$5:$G$24,4,FALSE())&lt;=VLOOKUP(X120,Schichten!$A$5:$G$24,3,FALSE()),1,0))</f>
        <v>46504.25</v>
      </c>
      <c r="AC120" s="28" t="n">
        <f aca="false">IF($A120="","",IF(N(Y119)&gt;0,AB119,AC119))</f>
        <v>46502.9166666667</v>
      </c>
      <c r="AD120" s="27" t="n">
        <f aca="false">IF(OR(AA120="",AC120=""),"",(AA120-AC120)*24)</f>
        <v>24</v>
      </c>
      <c r="AE120" s="21" t="n">
        <f aca="false">IF($A120="","",IF(N(Y120)&gt;0,N(AE119)+1,0))</f>
        <v>5</v>
      </c>
      <c r="AF120" s="21" t="n">
        <f aca="false">IF($A120="","",IF(N(Z120)&gt;0,N(AF119)+1,0))</f>
        <v>1</v>
      </c>
      <c r="AG120" s="21" t="str">
        <f aca="false">IF($A120="","",IF(WEEKDAY($A120,2)&lt;&gt;7,"",IF(AND(OR(AA120="",N(AA120)&gt;=$A120+16/24,N(AB120)&lt;=$A120+6/24),OR(AC120="",N(AC120)&lt;=$A120+6/24)),1,0)))</f>
        <v/>
      </c>
      <c r="AH120" s="26" t="str">
        <f aca="false">IF($A120="","",IF(INDEX(Muster!$C$9:$BF$9,1,MOD($A120-Einstellungen!$C$6,Einstellungen!$C$7)+1)="","-",INDEX(Muster!$C$9:$BF$9,1,MOD($A120-Einstellungen!$C$6,Einstellungen!$C$7)+1)))</f>
        <v>S</v>
      </c>
      <c r="AI120" s="27" t="n">
        <f aca="false">IF($A120="","",IFERROR(VLOOKUP(AH120,Schichten!$A$5:$G$24,6,FALSE()),0))</f>
        <v>8</v>
      </c>
      <c r="AJ120" s="27" t="n">
        <f aca="false">IF($A120="","",IFERROR(VLOOKUP(AH120,Schichten!$A$5:$G$24,7,FALSE()),0))</f>
        <v>0</v>
      </c>
      <c r="AK120" s="28" t="n">
        <f aca="false">IF($A120="","",IF(N(AI120)=0,"",$A120+VLOOKUP(AH120,Schichten!$A$5:$G$24,3,FALSE())))</f>
        <v>46503.5833333333</v>
      </c>
      <c r="AL120" s="28" t="n">
        <f aca="false">IF(AK120="","",$A120+VLOOKUP(AH120,Schichten!$A$5:$G$24,4,FALSE())+IF(VLOOKUP(AH120,Schichten!$A$5:$G$24,4,FALSE())&lt;=VLOOKUP(AH120,Schichten!$A$5:$G$24,3,FALSE()),1,0))</f>
        <v>46503.9166666667</v>
      </c>
      <c r="AM120" s="28" t="n">
        <f aca="false">IF($A120="","",IF(N(AI119)&gt;0,AL119,AM119))</f>
        <v>46502.5833333333</v>
      </c>
      <c r="AN120" s="27" t="n">
        <f aca="false">IF(OR(AK120="",AM120=""),"",(AK120-AM120)*24)</f>
        <v>24</v>
      </c>
      <c r="AO120" s="21" t="n">
        <f aca="false">IF($A120="","",IF(N(AI120)&gt;0,N(AO119)+1,0))</f>
        <v>3</v>
      </c>
      <c r="AP120" s="21" t="n">
        <f aca="false">IF($A120="","",IF(N(AJ120)&gt;0,N(AP119)+1,0))</f>
        <v>0</v>
      </c>
      <c r="AQ120" s="21" t="str">
        <f aca="false">IF($A120="","",IF(WEEKDAY($A120,2)&lt;&gt;7,"",IF(AND(OR(AK120="",N(AK120)&gt;=$A120+16/24,N(AL120)&lt;=$A120+6/24),OR(AM120="",N(AM120)&lt;=$A120+6/24)),1,0)))</f>
        <v/>
      </c>
      <c r="AR120" s="26" t="str">
        <f aca="false">IF($A120="","",IF(INDEX(Muster!$C$10:$BF$10,1,MOD($A120-Einstellungen!$C$6,Einstellungen!$C$7)+1)="","-",INDEX(Muster!$C$10:$BF$10,1,MOD($A120-Einstellungen!$C$6,Einstellungen!$C$7)+1)))</f>
        <v>-</v>
      </c>
      <c r="AS120" s="27" t="n">
        <f aca="false">IF($A120="","",IFERROR(VLOOKUP(AR120,Schichten!$A$5:$G$24,6,FALSE()),0))</f>
        <v>0</v>
      </c>
      <c r="AT120" s="27" t="n">
        <f aca="false">IF($A120="","",IFERROR(VLOOKUP(AR120,Schichten!$A$5:$G$24,7,FALSE()),0))</f>
        <v>0</v>
      </c>
      <c r="AU120" s="28" t="str">
        <f aca="false">IF($A120="","",IF(N(AS120)=0,"",$A120+VLOOKUP(AR120,Schichten!$A$5:$G$24,3,FALSE())))</f>
        <v/>
      </c>
      <c r="AV120" s="28" t="str">
        <f aca="false">IF(AU120="","",$A120+VLOOKUP(AR120,Schichten!$A$5:$G$24,4,FALSE())+IF(VLOOKUP(AR120,Schichten!$A$5:$G$24,4,FALSE())&lt;=VLOOKUP(AR120,Schichten!$A$5:$G$24,3,FALSE()),1,0))</f>
        <v/>
      </c>
      <c r="AW120" s="28" t="str">
        <f aca="false">IF($A120="","",IF(N(AS119)&gt;0,AV119,AW119))</f>
        <v/>
      </c>
      <c r="AX120" s="27" t="str">
        <f aca="false">IF(OR(AU120="",AW120=""),"",(AU120-AW120)*24)</f>
        <v/>
      </c>
      <c r="AY120" s="21" t="n">
        <f aca="false">IF($A120="","",IF(N(AS120)&gt;0,N(AY119)+1,0))</f>
        <v>0</v>
      </c>
      <c r="AZ120" s="21" t="n">
        <f aca="false">IF($A120="","",IF(N(AT120)&gt;0,N(AZ119)+1,0))</f>
        <v>0</v>
      </c>
      <c r="BA120" s="21" t="str">
        <f aca="false">IF($A120="","",IF(WEEKDAY($A120,2)&lt;&gt;7,"",IF(AND(OR(AU120="",N(AU120)&gt;=$A120+16/24,N(AV120)&lt;=$A120+6/24),OR(AW120="",N(AW120)&lt;=$A120+6/24)),1,0)))</f>
        <v/>
      </c>
    </row>
    <row r="121" customFormat="false" ht="15" hidden="false" customHeight="false" outlineLevel="0" collapsed="false">
      <c r="A121" s="25" t="n">
        <f aca="false">IF(YEAR(DATE(Einstellungen!$C$4,1,1)+116)=Einstellungen!$C$4,DATE(Einstellungen!$C$4,1,1)+116,"")</f>
        <v>46504</v>
      </c>
      <c r="B121" s="26" t="str">
        <f aca="false">IF($A121="","",CHOOSE(WEEKDAY($A121,2),"Mo","Di","Mi","Do","Fr","Sa","So"))</f>
        <v>Di</v>
      </c>
      <c r="C121" s="26" t="n">
        <f aca="false">IF($A121="","",MONTH($A121))</f>
        <v>4</v>
      </c>
      <c r="D121" s="26" t="str">
        <f aca="false">IF($A121="","",IF(INDEX(Muster!$C$6:$BF$6,1,MOD($A121-Einstellungen!$C$6,Einstellungen!$C$7)+1)="","-",INDEX(Muster!$C$6:$BF$6,1,MOD($A121-Einstellungen!$C$6,Einstellungen!$C$7)+1)))</f>
        <v>F</v>
      </c>
      <c r="E121" s="27" t="n">
        <f aca="false">IF($A121="","",IFERROR(VLOOKUP(D121,Schichten!$A$5:$G$24,6,FALSE()),0))</f>
        <v>8</v>
      </c>
      <c r="F121" s="27" t="n">
        <f aca="false">IF($A121="","",IFERROR(VLOOKUP(D121,Schichten!$A$5:$G$24,7,FALSE()),0))</f>
        <v>0</v>
      </c>
      <c r="G121" s="28" t="n">
        <f aca="false">IF($A121="","",IF(N(E121)=0,"",$A121+VLOOKUP(D121,Schichten!$A$5:$G$24,3,FALSE())))</f>
        <v>46504.25</v>
      </c>
      <c r="H121" s="28" t="n">
        <f aca="false">IF(G121="","",$A121+VLOOKUP(D121,Schichten!$A$5:$G$24,4,FALSE())+IF(VLOOKUP(D121,Schichten!$A$5:$G$24,4,FALSE())&lt;=VLOOKUP(D121,Schichten!$A$5:$G$24,3,FALSE()),1,0))</f>
        <v>46504.5833333333</v>
      </c>
      <c r="I121" s="28" t="n">
        <f aca="false">IF($A121="","",IF(N(E120)&gt;0,H120,I120))</f>
        <v>46503.5833333333</v>
      </c>
      <c r="J121" s="27" t="n">
        <f aca="false">IF(OR(G121="",I121=""),"",(G121-I121)*24)</f>
        <v>16</v>
      </c>
      <c r="K121" s="21" t="n">
        <f aca="false">IF($A121="","",IF(N(E121)&gt;0,N(K120)+1,0))</f>
        <v>2</v>
      </c>
      <c r="L121" s="21" t="n">
        <f aca="false">IF($A121="","",IF(N(F121)&gt;0,N(L120)+1,0))</f>
        <v>0</v>
      </c>
      <c r="M121" s="21" t="str">
        <f aca="false">IF($A121="","",IF(WEEKDAY($A121,2)&lt;&gt;7,"",IF(AND(OR(G121="",N(G121)&gt;=$A121+16/24,N(H121)&lt;=$A121+6/24),OR(I121="",N(I121)&lt;=$A121+6/24)),1,0)))</f>
        <v/>
      </c>
      <c r="N121" s="26" t="str">
        <f aca="false">IF($A121="","",IF(INDEX(Muster!$C$7:$BF$7,1,MOD($A121-Einstellungen!$C$6,Einstellungen!$C$7)+1)="","-",INDEX(Muster!$C$7:$BF$7,1,MOD($A121-Einstellungen!$C$6,Einstellungen!$C$7)+1)))</f>
        <v>-</v>
      </c>
      <c r="O121" s="27" t="n">
        <f aca="false">IF($A121="","",IFERROR(VLOOKUP(N121,Schichten!$A$5:$G$24,6,FALSE()),0))</f>
        <v>0</v>
      </c>
      <c r="P121" s="27" t="n">
        <f aca="false">IF($A121="","",IFERROR(VLOOKUP(N121,Schichten!$A$5:$G$24,7,FALSE()),0))</f>
        <v>0</v>
      </c>
      <c r="Q121" s="28" t="str">
        <f aca="false">IF($A121="","",IF(N(O121)=0,"",$A121+VLOOKUP(N121,Schichten!$A$5:$G$24,3,FALSE())))</f>
        <v/>
      </c>
      <c r="R121" s="28" t="str">
        <f aca="false">IF(Q121="","",$A121+VLOOKUP(N121,Schichten!$A$5:$G$24,4,FALSE())+IF(VLOOKUP(N121,Schichten!$A$5:$G$24,4,FALSE())&lt;=VLOOKUP(N121,Schichten!$A$5:$G$24,3,FALSE()),1,0))</f>
        <v/>
      </c>
      <c r="S121" s="28" t="n">
        <f aca="false">IF($A121="","",IF(N(O120)&gt;0,R120,S120))</f>
        <v>46503.25</v>
      </c>
      <c r="T121" s="27" t="str">
        <f aca="false">IF(OR(Q121="",S121=""),"",(Q121-S121)*24)</f>
        <v/>
      </c>
      <c r="U121" s="21" t="n">
        <f aca="false">IF($A121="","",IF(N(O121)&gt;0,N(U120)+1,0))</f>
        <v>0</v>
      </c>
      <c r="V121" s="21" t="n">
        <f aca="false">IF($A121="","",IF(N(P121)&gt;0,N(V120)+1,0))</f>
        <v>0</v>
      </c>
      <c r="W121" s="21" t="str">
        <f aca="false">IF($A121="","",IF(WEEKDAY($A121,2)&lt;&gt;7,"",IF(AND(OR(Q121="",N(Q121)&gt;=$A121+16/24,N(R121)&lt;=$A121+6/24),OR(S121="",N(S121)&lt;=$A121+6/24)),1,0)))</f>
        <v/>
      </c>
      <c r="X121" s="26" t="str">
        <f aca="false">IF($A121="","",IF(INDEX(Muster!$C$8:$BF$8,1,MOD($A121-Einstellungen!$C$6,Einstellungen!$C$7)+1)="","-",INDEX(Muster!$C$8:$BF$8,1,MOD($A121-Einstellungen!$C$6,Einstellungen!$C$7)+1)))</f>
        <v>N</v>
      </c>
      <c r="Y121" s="27" t="n">
        <f aca="false">IF($A121="","",IFERROR(VLOOKUP(X121,Schichten!$A$5:$G$24,6,FALSE()),0))</f>
        <v>8</v>
      </c>
      <c r="Z121" s="27" t="n">
        <f aca="false">IF($A121="","",IFERROR(VLOOKUP(X121,Schichten!$A$5:$G$24,7,FALSE()),0))</f>
        <v>7</v>
      </c>
      <c r="AA121" s="28" t="n">
        <f aca="false">IF($A121="","",IF(N(Y121)=0,"",$A121+VLOOKUP(X121,Schichten!$A$5:$G$24,3,FALSE())))</f>
        <v>46504.9166666667</v>
      </c>
      <c r="AB121" s="28" t="n">
        <f aca="false">IF(AA121="","",$A121+VLOOKUP(X121,Schichten!$A$5:$G$24,4,FALSE())+IF(VLOOKUP(X121,Schichten!$A$5:$G$24,4,FALSE())&lt;=VLOOKUP(X121,Schichten!$A$5:$G$24,3,FALSE()),1,0))</f>
        <v>46505.25</v>
      </c>
      <c r="AC121" s="28" t="n">
        <f aca="false">IF($A121="","",IF(N(Y120)&gt;0,AB120,AC120))</f>
        <v>46504.25</v>
      </c>
      <c r="AD121" s="27" t="n">
        <f aca="false">IF(OR(AA121="",AC121=""),"",(AA121-AC121)*24)</f>
        <v>16</v>
      </c>
      <c r="AE121" s="21" t="n">
        <f aca="false">IF($A121="","",IF(N(Y121)&gt;0,N(AE120)+1,0))</f>
        <v>6</v>
      </c>
      <c r="AF121" s="21" t="n">
        <f aca="false">IF($A121="","",IF(N(Z121)&gt;0,N(AF120)+1,0))</f>
        <v>2</v>
      </c>
      <c r="AG121" s="21" t="str">
        <f aca="false">IF($A121="","",IF(WEEKDAY($A121,2)&lt;&gt;7,"",IF(AND(OR(AA121="",N(AA121)&gt;=$A121+16/24,N(AB121)&lt;=$A121+6/24),OR(AC121="",N(AC121)&lt;=$A121+6/24)),1,0)))</f>
        <v/>
      </c>
      <c r="AH121" s="26" t="str">
        <f aca="false">IF($A121="","",IF(INDEX(Muster!$C$9:$BF$9,1,MOD($A121-Einstellungen!$C$6,Einstellungen!$C$7)+1)="","-",INDEX(Muster!$C$9:$BF$9,1,MOD($A121-Einstellungen!$C$6,Einstellungen!$C$7)+1)))</f>
        <v>S</v>
      </c>
      <c r="AI121" s="27" t="n">
        <f aca="false">IF($A121="","",IFERROR(VLOOKUP(AH121,Schichten!$A$5:$G$24,6,FALSE()),0))</f>
        <v>8</v>
      </c>
      <c r="AJ121" s="27" t="n">
        <f aca="false">IF($A121="","",IFERROR(VLOOKUP(AH121,Schichten!$A$5:$G$24,7,FALSE()),0))</f>
        <v>0</v>
      </c>
      <c r="AK121" s="28" t="n">
        <f aca="false">IF($A121="","",IF(N(AI121)=0,"",$A121+VLOOKUP(AH121,Schichten!$A$5:$G$24,3,FALSE())))</f>
        <v>46504.5833333333</v>
      </c>
      <c r="AL121" s="28" t="n">
        <f aca="false">IF(AK121="","",$A121+VLOOKUP(AH121,Schichten!$A$5:$G$24,4,FALSE())+IF(VLOOKUP(AH121,Schichten!$A$5:$G$24,4,FALSE())&lt;=VLOOKUP(AH121,Schichten!$A$5:$G$24,3,FALSE()),1,0))</f>
        <v>46504.9166666667</v>
      </c>
      <c r="AM121" s="28" t="n">
        <f aca="false">IF($A121="","",IF(N(AI120)&gt;0,AL120,AM120))</f>
        <v>46503.9166666667</v>
      </c>
      <c r="AN121" s="27" t="n">
        <f aca="false">IF(OR(AK121="",AM121=""),"",(AK121-AM121)*24)</f>
        <v>16</v>
      </c>
      <c r="AO121" s="21" t="n">
        <f aca="false">IF($A121="","",IF(N(AI121)&gt;0,N(AO120)+1,0))</f>
        <v>4</v>
      </c>
      <c r="AP121" s="21" t="n">
        <f aca="false">IF($A121="","",IF(N(AJ121)&gt;0,N(AP120)+1,0))</f>
        <v>0</v>
      </c>
      <c r="AQ121" s="21" t="str">
        <f aca="false">IF($A121="","",IF(WEEKDAY($A121,2)&lt;&gt;7,"",IF(AND(OR(AK121="",N(AK121)&gt;=$A121+16/24,N(AL121)&lt;=$A121+6/24),OR(AM121="",N(AM121)&lt;=$A121+6/24)),1,0)))</f>
        <v/>
      </c>
      <c r="AR121" s="26" t="str">
        <f aca="false">IF($A121="","",IF(INDEX(Muster!$C$10:$BF$10,1,MOD($A121-Einstellungen!$C$6,Einstellungen!$C$7)+1)="","-",INDEX(Muster!$C$10:$BF$10,1,MOD($A121-Einstellungen!$C$6,Einstellungen!$C$7)+1)))</f>
        <v>-</v>
      </c>
      <c r="AS121" s="27" t="n">
        <f aca="false">IF($A121="","",IFERROR(VLOOKUP(AR121,Schichten!$A$5:$G$24,6,FALSE()),0))</f>
        <v>0</v>
      </c>
      <c r="AT121" s="27" t="n">
        <f aca="false">IF($A121="","",IFERROR(VLOOKUP(AR121,Schichten!$A$5:$G$24,7,FALSE()),0))</f>
        <v>0</v>
      </c>
      <c r="AU121" s="28" t="str">
        <f aca="false">IF($A121="","",IF(N(AS121)=0,"",$A121+VLOOKUP(AR121,Schichten!$A$5:$G$24,3,FALSE())))</f>
        <v/>
      </c>
      <c r="AV121" s="28" t="str">
        <f aca="false">IF(AU121="","",$A121+VLOOKUP(AR121,Schichten!$A$5:$G$24,4,FALSE())+IF(VLOOKUP(AR121,Schichten!$A$5:$G$24,4,FALSE())&lt;=VLOOKUP(AR121,Schichten!$A$5:$G$24,3,FALSE()),1,0))</f>
        <v/>
      </c>
      <c r="AW121" s="28" t="str">
        <f aca="false">IF($A121="","",IF(N(AS120)&gt;0,AV120,AW120))</f>
        <v/>
      </c>
      <c r="AX121" s="27" t="str">
        <f aca="false">IF(OR(AU121="",AW121=""),"",(AU121-AW121)*24)</f>
        <v/>
      </c>
      <c r="AY121" s="21" t="n">
        <f aca="false">IF($A121="","",IF(N(AS121)&gt;0,N(AY120)+1,0))</f>
        <v>0</v>
      </c>
      <c r="AZ121" s="21" t="n">
        <f aca="false">IF($A121="","",IF(N(AT121)&gt;0,N(AZ120)+1,0))</f>
        <v>0</v>
      </c>
      <c r="BA121" s="21" t="str">
        <f aca="false">IF($A121="","",IF(WEEKDAY($A121,2)&lt;&gt;7,"",IF(AND(OR(AU121="",N(AU121)&gt;=$A121+16/24,N(AV121)&lt;=$A121+6/24),OR(AW121="",N(AW121)&lt;=$A121+6/24)),1,0)))</f>
        <v/>
      </c>
    </row>
    <row r="122" customFormat="false" ht="15" hidden="false" customHeight="false" outlineLevel="0" collapsed="false">
      <c r="A122" s="25" t="n">
        <f aca="false">IF(YEAR(DATE(Einstellungen!$C$4,1,1)+117)=Einstellungen!$C$4,DATE(Einstellungen!$C$4,1,1)+117,"")</f>
        <v>46505</v>
      </c>
      <c r="B122" s="26" t="str">
        <f aca="false">IF($A122="","",CHOOSE(WEEKDAY($A122,2),"Mo","Di","Mi","Do","Fr","Sa","So"))</f>
        <v>Mi</v>
      </c>
      <c r="C122" s="26" t="n">
        <f aca="false">IF($A122="","",MONTH($A122))</f>
        <v>4</v>
      </c>
      <c r="D122" s="26" t="str">
        <f aca="false">IF($A122="","",IF(INDEX(Muster!$C$6:$BF$6,1,MOD($A122-Einstellungen!$C$6,Einstellungen!$C$7)+1)="","-",INDEX(Muster!$C$6:$BF$6,1,MOD($A122-Einstellungen!$C$6,Einstellungen!$C$7)+1)))</f>
        <v>S</v>
      </c>
      <c r="E122" s="27" t="n">
        <f aca="false">IF($A122="","",IFERROR(VLOOKUP(D122,Schichten!$A$5:$G$24,6,FALSE()),0))</f>
        <v>8</v>
      </c>
      <c r="F122" s="27" t="n">
        <f aca="false">IF($A122="","",IFERROR(VLOOKUP(D122,Schichten!$A$5:$G$24,7,FALSE()),0))</f>
        <v>0</v>
      </c>
      <c r="G122" s="28" t="n">
        <f aca="false">IF($A122="","",IF(N(E122)=0,"",$A122+VLOOKUP(D122,Schichten!$A$5:$G$24,3,FALSE())))</f>
        <v>46505.5833333333</v>
      </c>
      <c r="H122" s="28" t="n">
        <f aca="false">IF(G122="","",$A122+VLOOKUP(D122,Schichten!$A$5:$G$24,4,FALSE())+IF(VLOOKUP(D122,Schichten!$A$5:$G$24,4,FALSE())&lt;=VLOOKUP(D122,Schichten!$A$5:$G$24,3,FALSE()),1,0))</f>
        <v>46505.9166666667</v>
      </c>
      <c r="I122" s="28" t="n">
        <f aca="false">IF($A122="","",IF(N(E121)&gt;0,H121,I121))</f>
        <v>46504.5833333333</v>
      </c>
      <c r="J122" s="27" t="n">
        <f aca="false">IF(OR(G122="",I122=""),"",(G122-I122)*24)</f>
        <v>24</v>
      </c>
      <c r="K122" s="21" t="n">
        <f aca="false">IF($A122="","",IF(N(E122)&gt;0,N(K121)+1,0))</f>
        <v>3</v>
      </c>
      <c r="L122" s="21" t="n">
        <f aca="false">IF($A122="","",IF(N(F122)&gt;0,N(L121)+1,0))</f>
        <v>0</v>
      </c>
      <c r="M122" s="21" t="str">
        <f aca="false">IF($A122="","",IF(WEEKDAY($A122,2)&lt;&gt;7,"",IF(AND(OR(G122="",N(G122)&gt;=$A122+16/24,N(H122)&lt;=$A122+6/24),OR(I122="",N(I122)&lt;=$A122+6/24)),1,0)))</f>
        <v/>
      </c>
      <c r="N122" s="26" t="str">
        <f aca="false">IF($A122="","",IF(INDEX(Muster!$C$7:$BF$7,1,MOD($A122-Einstellungen!$C$6,Einstellungen!$C$7)+1)="","-",INDEX(Muster!$C$7:$BF$7,1,MOD($A122-Einstellungen!$C$6,Einstellungen!$C$7)+1)))</f>
        <v>F</v>
      </c>
      <c r="O122" s="27" t="n">
        <f aca="false">IF($A122="","",IFERROR(VLOOKUP(N122,Schichten!$A$5:$G$24,6,FALSE()),0))</f>
        <v>8</v>
      </c>
      <c r="P122" s="27" t="n">
        <f aca="false">IF($A122="","",IFERROR(VLOOKUP(N122,Schichten!$A$5:$G$24,7,FALSE()),0))</f>
        <v>0</v>
      </c>
      <c r="Q122" s="28" t="n">
        <f aca="false">IF($A122="","",IF(N(O122)=0,"",$A122+VLOOKUP(N122,Schichten!$A$5:$G$24,3,FALSE())))</f>
        <v>46505.25</v>
      </c>
      <c r="R122" s="28" t="n">
        <f aca="false">IF(Q122="","",$A122+VLOOKUP(N122,Schichten!$A$5:$G$24,4,FALSE())+IF(VLOOKUP(N122,Schichten!$A$5:$G$24,4,FALSE())&lt;=VLOOKUP(N122,Schichten!$A$5:$G$24,3,FALSE()),1,0))</f>
        <v>46505.5833333333</v>
      </c>
      <c r="S122" s="28" t="n">
        <f aca="false">IF($A122="","",IF(N(O121)&gt;0,R121,S121))</f>
        <v>46503.25</v>
      </c>
      <c r="T122" s="27" t="n">
        <f aca="false">IF(OR(Q122="",S122=""),"",(Q122-S122)*24)</f>
        <v>48</v>
      </c>
      <c r="U122" s="21" t="n">
        <f aca="false">IF($A122="","",IF(N(O122)&gt;0,N(U121)+1,0))</f>
        <v>1</v>
      </c>
      <c r="V122" s="21" t="n">
        <f aca="false">IF($A122="","",IF(N(P122)&gt;0,N(V121)+1,0))</f>
        <v>0</v>
      </c>
      <c r="W122" s="21" t="str">
        <f aca="false">IF($A122="","",IF(WEEKDAY($A122,2)&lt;&gt;7,"",IF(AND(OR(Q122="",N(Q122)&gt;=$A122+16/24,N(R122)&lt;=$A122+6/24),OR(S122="",N(S122)&lt;=$A122+6/24)),1,0)))</f>
        <v/>
      </c>
      <c r="X122" s="26" t="str">
        <f aca="false">IF($A122="","",IF(INDEX(Muster!$C$8:$BF$8,1,MOD($A122-Einstellungen!$C$6,Einstellungen!$C$7)+1)="","-",INDEX(Muster!$C$8:$BF$8,1,MOD($A122-Einstellungen!$C$6,Einstellungen!$C$7)+1)))</f>
        <v>-</v>
      </c>
      <c r="Y122" s="27" t="n">
        <f aca="false">IF($A122="","",IFERROR(VLOOKUP(X122,Schichten!$A$5:$G$24,6,FALSE()),0))</f>
        <v>0</v>
      </c>
      <c r="Z122" s="27" t="n">
        <f aca="false">IF($A122="","",IFERROR(VLOOKUP(X122,Schichten!$A$5:$G$24,7,FALSE()),0))</f>
        <v>0</v>
      </c>
      <c r="AA122" s="28" t="str">
        <f aca="false">IF($A122="","",IF(N(Y122)=0,"",$A122+VLOOKUP(X122,Schichten!$A$5:$G$24,3,FALSE())))</f>
        <v/>
      </c>
      <c r="AB122" s="28" t="str">
        <f aca="false">IF(AA122="","",$A122+VLOOKUP(X122,Schichten!$A$5:$G$24,4,FALSE())+IF(VLOOKUP(X122,Schichten!$A$5:$G$24,4,FALSE())&lt;=VLOOKUP(X122,Schichten!$A$5:$G$24,3,FALSE()),1,0))</f>
        <v/>
      </c>
      <c r="AC122" s="28" t="n">
        <f aca="false">IF($A122="","",IF(N(Y121)&gt;0,AB121,AC121))</f>
        <v>46505.25</v>
      </c>
      <c r="AD122" s="27" t="str">
        <f aca="false">IF(OR(AA122="",AC122=""),"",(AA122-AC122)*24)</f>
        <v/>
      </c>
      <c r="AE122" s="21" t="n">
        <f aca="false">IF($A122="","",IF(N(Y122)&gt;0,N(AE121)+1,0))</f>
        <v>0</v>
      </c>
      <c r="AF122" s="21" t="n">
        <f aca="false">IF($A122="","",IF(N(Z122)&gt;0,N(AF121)+1,0))</f>
        <v>0</v>
      </c>
      <c r="AG122" s="21" t="str">
        <f aca="false">IF($A122="","",IF(WEEKDAY($A122,2)&lt;&gt;7,"",IF(AND(OR(AA122="",N(AA122)&gt;=$A122+16/24,N(AB122)&lt;=$A122+6/24),OR(AC122="",N(AC122)&lt;=$A122+6/24)),1,0)))</f>
        <v/>
      </c>
      <c r="AH122" s="26" t="str">
        <f aca="false">IF($A122="","",IF(INDEX(Muster!$C$9:$BF$9,1,MOD($A122-Einstellungen!$C$6,Einstellungen!$C$7)+1)="","-",INDEX(Muster!$C$9:$BF$9,1,MOD($A122-Einstellungen!$C$6,Einstellungen!$C$7)+1)))</f>
        <v>N</v>
      </c>
      <c r="AI122" s="27" t="n">
        <f aca="false">IF($A122="","",IFERROR(VLOOKUP(AH122,Schichten!$A$5:$G$24,6,FALSE()),0))</f>
        <v>8</v>
      </c>
      <c r="AJ122" s="27" t="n">
        <f aca="false">IF($A122="","",IFERROR(VLOOKUP(AH122,Schichten!$A$5:$G$24,7,FALSE()),0))</f>
        <v>7</v>
      </c>
      <c r="AK122" s="28" t="n">
        <f aca="false">IF($A122="","",IF(N(AI122)=0,"",$A122+VLOOKUP(AH122,Schichten!$A$5:$G$24,3,FALSE())))</f>
        <v>46505.9166666667</v>
      </c>
      <c r="AL122" s="28" t="n">
        <f aca="false">IF(AK122="","",$A122+VLOOKUP(AH122,Schichten!$A$5:$G$24,4,FALSE())+IF(VLOOKUP(AH122,Schichten!$A$5:$G$24,4,FALSE())&lt;=VLOOKUP(AH122,Schichten!$A$5:$G$24,3,FALSE()),1,0))</f>
        <v>46506.25</v>
      </c>
      <c r="AM122" s="28" t="n">
        <f aca="false">IF($A122="","",IF(N(AI121)&gt;0,AL121,AM121))</f>
        <v>46504.9166666667</v>
      </c>
      <c r="AN122" s="27" t="n">
        <f aca="false">IF(OR(AK122="",AM122=""),"",(AK122-AM122)*24)</f>
        <v>24</v>
      </c>
      <c r="AO122" s="21" t="n">
        <f aca="false">IF($A122="","",IF(N(AI122)&gt;0,N(AO121)+1,0))</f>
        <v>5</v>
      </c>
      <c r="AP122" s="21" t="n">
        <f aca="false">IF($A122="","",IF(N(AJ122)&gt;0,N(AP121)+1,0))</f>
        <v>1</v>
      </c>
      <c r="AQ122" s="21" t="str">
        <f aca="false">IF($A122="","",IF(WEEKDAY($A122,2)&lt;&gt;7,"",IF(AND(OR(AK122="",N(AK122)&gt;=$A122+16/24,N(AL122)&lt;=$A122+6/24),OR(AM122="",N(AM122)&lt;=$A122+6/24)),1,0)))</f>
        <v/>
      </c>
      <c r="AR122" s="26" t="str">
        <f aca="false">IF($A122="","",IF(INDEX(Muster!$C$10:$BF$10,1,MOD($A122-Einstellungen!$C$6,Einstellungen!$C$7)+1)="","-",INDEX(Muster!$C$10:$BF$10,1,MOD($A122-Einstellungen!$C$6,Einstellungen!$C$7)+1)))</f>
        <v>-</v>
      </c>
      <c r="AS122" s="27" t="n">
        <f aca="false">IF($A122="","",IFERROR(VLOOKUP(AR122,Schichten!$A$5:$G$24,6,FALSE()),0))</f>
        <v>0</v>
      </c>
      <c r="AT122" s="27" t="n">
        <f aca="false">IF($A122="","",IFERROR(VLOOKUP(AR122,Schichten!$A$5:$G$24,7,FALSE()),0))</f>
        <v>0</v>
      </c>
      <c r="AU122" s="28" t="str">
        <f aca="false">IF($A122="","",IF(N(AS122)=0,"",$A122+VLOOKUP(AR122,Schichten!$A$5:$G$24,3,FALSE())))</f>
        <v/>
      </c>
      <c r="AV122" s="28" t="str">
        <f aca="false">IF(AU122="","",$A122+VLOOKUP(AR122,Schichten!$A$5:$G$24,4,FALSE())+IF(VLOOKUP(AR122,Schichten!$A$5:$G$24,4,FALSE())&lt;=VLOOKUP(AR122,Schichten!$A$5:$G$24,3,FALSE()),1,0))</f>
        <v/>
      </c>
      <c r="AW122" s="28" t="str">
        <f aca="false">IF($A122="","",IF(N(AS121)&gt;0,AV121,AW121))</f>
        <v/>
      </c>
      <c r="AX122" s="27" t="str">
        <f aca="false">IF(OR(AU122="",AW122=""),"",(AU122-AW122)*24)</f>
        <v/>
      </c>
      <c r="AY122" s="21" t="n">
        <f aca="false">IF($A122="","",IF(N(AS122)&gt;0,N(AY121)+1,0))</f>
        <v>0</v>
      </c>
      <c r="AZ122" s="21" t="n">
        <f aca="false">IF($A122="","",IF(N(AT122)&gt;0,N(AZ121)+1,0))</f>
        <v>0</v>
      </c>
      <c r="BA122" s="21" t="str">
        <f aca="false">IF($A122="","",IF(WEEKDAY($A122,2)&lt;&gt;7,"",IF(AND(OR(AU122="",N(AU122)&gt;=$A122+16/24,N(AV122)&lt;=$A122+6/24),OR(AW122="",N(AW122)&lt;=$A122+6/24)),1,0)))</f>
        <v/>
      </c>
    </row>
    <row r="123" customFormat="false" ht="15" hidden="false" customHeight="false" outlineLevel="0" collapsed="false">
      <c r="A123" s="25" t="n">
        <f aca="false">IF(YEAR(DATE(Einstellungen!$C$4,1,1)+118)=Einstellungen!$C$4,DATE(Einstellungen!$C$4,1,1)+118,"")</f>
        <v>46506</v>
      </c>
      <c r="B123" s="26" t="str">
        <f aca="false">IF($A123="","",CHOOSE(WEEKDAY($A123,2),"Mo","Di","Mi","Do","Fr","Sa","So"))</f>
        <v>Do</v>
      </c>
      <c r="C123" s="26" t="n">
        <f aca="false">IF($A123="","",MONTH($A123))</f>
        <v>4</v>
      </c>
      <c r="D123" s="26" t="str">
        <f aca="false">IF($A123="","",IF(INDEX(Muster!$C$6:$BF$6,1,MOD($A123-Einstellungen!$C$6,Einstellungen!$C$7)+1)="","-",INDEX(Muster!$C$6:$BF$6,1,MOD($A123-Einstellungen!$C$6,Einstellungen!$C$7)+1)))</f>
        <v>S</v>
      </c>
      <c r="E123" s="27" t="n">
        <f aca="false">IF($A123="","",IFERROR(VLOOKUP(D123,Schichten!$A$5:$G$24,6,FALSE()),0))</f>
        <v>8</v>
      </c>
      <c r="F123" s="27" t="n">
        <f aca="false">IF($A123="","",IFERROR(VLOOKUP(D123,Schichten!$A$5:$G$24,7,FALSE()),0))</f>
        <v>0</v>
      </c>
      <c r="G123" s="28" t="n">
        <f aca="false">IF($A123="","",IF(N(E123)=0,"",$A123+VLOOKUP(D123,Schichten!$A$5:$G$24,3,FALSE())))</f>
        <v>46506.5833333333</v>
      </c>
      <c r="H123" s="28" t="n">
        <f aca="false">IF(G123="","",$A123+VLOOKUP(D123,Schichten!$A$5:$G$24,4,FALSE())+IF(VLOOKUP(D123,Schichten!$A$5:$G$24,4,FALSE())&lt;=VLOOKUP(D123,Schichten!$A$5:$G$24,3,FALSE()),1,0))</f>
        <v>46506.9166666667</v>
      </c>
      <c r="I123" s="28" t="n">
        <f aca="false">IF($A123="","",IF(N(E122)&gt;0,H122,I122))</f>
        <v>46505.9166666667</v>
      </c>
      <c r="J123" s="27" t="n">
        <f aca="false">IF(OR(G123="",I123=""),"",(G123-I123)*24)</f>
        <v>16</v>
      </c>
      <c r="K123" s="21" t="n">
        <f aca="false">IF($A123="","",IF(N(E123)&gt;0,N(K122)+1,0))</f>
        <v>4</v>
      </c>
      <c r="L123" s="21" t="n">
        <f aca="false">IF($A123="","",IF(N(F123)&gt;0,N(L122)+1,0))</f>
        <v>0</v>
      </c>
      <c r="M123" s="21" t="str">
        <f aca="false">IF($A123="","",IF(WEEKDAY($A123,2)&lt;&gt;7,"",IF(AND(OR(G123="",N(G123)&gt;=$A123+16/24,N(H123)&lt;=$A123+6/24),OR(I123="",N(I123)&lt;=$A123+6/24)),1,0)))</f>
        <v/>
      </c>
      <c r="N123" s="26" t="str">
        <f aca="false">IF($A123="","",IF(INDEX(Muster!$C$7:$BF$7,1,MOD($A123-Einstellungen!$C$6,Einstellungen!$C$7)+1)="","-",INDEX(Muster!$C$7:$BF$7,1,MOD($A123-Einstellungen!$C$6,Einstellungen!$C$7)+1)))</f>
        <v>F</v>
      </c>
      <c r="O123" s="27" t="n">
        <f aca="false">IF($A123="","",IFERROR(VLOOKUP(N123,Schichten!$A$5:$G$24,6,FALSE()),0))</f>
        <v>8</v>
      </c>
      <c r="P123" s="27" t="n">
        <f aca="false">IF($A123="","",IFERROR(VLOOKUP(N123,Schichten!$A$5:$G$24,7,FALSE()),0))</f>
        <v>0</v>
      </c>
      <c r="Q123" s="28" t="n">
        <f aca="false">IF($A123="","",IF(N(O123)=0,"",$A123+VLOOKUP(N123,Schichten!$A$5:$G$24,3,FALSE())))</f>
        <v>46506.25</v>
      </c>
      <c r="R123" s="28" t="n">
        <f aca="false">IF(Q123="","",$A123+VLOOKUP(N123,Schichten!$A$5:$G$24,4,FALSE())+IF(VLOOKUP(N123,Schichten!$A$5:$G$24,4,FALSE())&lt;=VLOOKUP(N123,Schichten!$A$5:$G$24,3,FALSE()),1,0))</f>
        <v>46506.5833333333</v>
      </c>
      <c r="S123" s="28" t="n">
        <f aca="false">IF($A123="","",IF(N(O122)&gt;0,R122,S122))</f>
        <v>46505.5833333333</v>
      </c>
      <c r="T123" s="27" t="n">
        <f aca="false">IF(OR(Q123="",S123=""),"",(Q123-S123)*24)</f>
        <v>16</v>
      </c>
      <c r="U123" s="21" t="n">
        <f aca="false">IF($A123="","",IF(N(O123)&gt;0,N(U122)+1,0))</f>
        <v>2</v>
      </c>
      <c r="V123" s="21" t="n">
        <f aca="false">IF($A123="","",IF(N(P123)&gt;0,N(V122)+1,0))</f>
        <v>0</v>
      </c>
      <c r="W123" s="21" t="str">
        <f aca="false">IF($A123="","",IF(WEEKDAY($A123,2)&lt;&gt;7,"",IF(AND(OR(Q123="",N(Q123)&gt;=$A123+16/24,N(R123)&lt;=$A123+6/24),OR(S123="",N(S123)&lt;=$A123+6/24)),1,0)))</f>
        <v/>
      </c>
      <c r="X123" s="26" t="str">
        <f aca="false">IF($A123="","",IF(INDEX(Muster!$C$8:$BF$8,1,MOD($A123-Einstellungen!$C$6,Einstellungen!$C$7)+1)="","-",INDEX(Muster!$C$8:$BF$8,1,MOD($A123-Einstellungen!$C$6,Einstellungen!$C$7)+1)))</f>
        <v>-</v>
      </c>
      <c r="Y123" s="27" t="n">
        <f aca="false">IF($A123="","",IFERROR(VLOOKUP(X123,Schichten!$A$5:$G$24,6,FALSE()),0))</f>
        <v>0</v>
      </c>
      <c r="Z123" s="27" t="n">
        <f aca="false">IF($A123="","",IFERROR(VLOOKUP(X123,Schichten!$A$5:$G$24,7,FALSE()),0))</f>
        <v>0</v>
      </c>
      <c r="AA123" s="28" t="str">
        <f aca="false">IF($A123="","",IF(N(Y123)=0,"",$A123+VLOOKUP(X123,Schichten!$A$5:$G$24,3,FALSE())))</f>
        <v/>
      </c>
      <c r="AB123" s="28" t="str">
        <f aca="false">IF(AA123="","",$A123+VLOOKUP(X123,Schichten!$A$5:$G$24,4,FALSE())+IF(VLOOKUP(X123,Schichten!$A$5:$G$24,4,FALSE())&lt;=VLOOKUP(X123,Schichten!$A$5:$G$24,3,FALSE()),1,0))</f>
        <v/>
      </c>
      <c r="AC123" s="28" t="n">
        <f aca="false">IF($A123="","",IF(N(Y122)&gt;0,AB122,AC122))</f>
        <v>46505.25</v>
      </c>
      <c r="AD123" s="27" t="str">
        <f aca="false">IF(OR(AA123="",AC123=""),"",(AA123-AC123)*24)</f>
        <v/>
      </c>
      <c r="AE123" s="21" t="n">
        <f aca="false">IF($A123="","",IF(N(Y123)&gt;0,N(AE122)+1,0))</f>
        <v>0</v>
      </c>
      <c r="AF123" s="21" t="n">
        <f aca="false">IF($A123="","",IF(N(Z123)&gt;0,N(AF122)+1,0))</f>
        <v>0</v>
      </c>
      <c r="AG123" s="21" t="str">
        <f aca="false">IF($A123="","",IF(WEEKDAY($A123,2)&lt;&gt;7,"",IF(AND(OR(AA123="",N(AA123)&gt;=$A123+16/24,N(AB123)&lt;=$A123+6/24),OR(AC123="",N(AC123)&lt;=$A123+6/24)),1,0)))</f>
        <v/>
      </c>
      <c r="AH123" s="26" t="str">
        <f aca="false">IF($A123="","",IF(INDEX(Muster!$C$9:$BF$9,1,MOD($A123-Einstellungen!$C$6,Einstellungen!$C$7)+1)="","-",INDEX(Muster!$C$9:$BF$9,1,MOD($A123-Einstellungen!$C$6,Einstellungen!$C$7)+1)))</f>
        <v>N</v>
      </c>
      <c r="AI123" s="27" t="n">
        <f aca="false">IF($A123="","",IFERROR(VLOOKUP(AH123,Schichten!$A$5:$G$24,6,FALSE()),0))</f>
        <v>8</v>
      </c>
      <c r="AJ123" s="27" t="n">
        <f aca="false">IF($A123="","",IFERROR(VLOOKUP(AH123,Schichten!$A$5:$G$24,7,FALSE()),0))</f>
        <v>7</v>
      </c>
      <c r="AK123" s="28" t="n">
        <f aca="false">IF($A123="","",IF(N(AI123)=0,"",$A123+VLOOKUP(AH123,Schichten!$A$5:$G$24,3,FALSE())))</f>
        <v>46506.9166666667</v>
      </c>
      <c r="AL123" s="28" t="n">
        <f aca="false">IF(AK123="","",$A123+VLOOKUP(AH123,Schichten!$A$5:$G$24,4,FALSE())+IF(VLOOKUP(AH123,Schichten!$A$5:$G$24,4,FALSE())&lt;=VLOOKUP(AH123,Schichten!$A$5:$G$24,3,FALSE()),1,0))</f>
        <v>46507.25</v>
      </c>
      <c r="AM123" s="28" t="n">
        <f aca="false">IF($A123="","",IF(N(AI122)&gt;0,AL122,AM122))</f>
        <v>46506.25</v>
      </c>
      <c r="AN123" s="27" t="n">
        <f aca="false">IF(OR(AK123="",AM123=""),"",(AK123-AM123)*24)</f>
        <v>16</v>
      </c>
      <c r="AO123" s="21" t="n">
        <f aca="false">IF($A123="","",IF(N(AI123)&gt;0,N(AO122)+1,0))</f>
        <v>6</v>
      </c>
      <c r="AP123" s="21" t="n">
        <f aca="false">IF($A123="","",IF(N(AJ123)&gt;0,N(AP122)+1,0))</f>
        <v>2</v>
      </c>
      <c r="AQ123" s="21" t="str">
        <f aca="false">IF($A123="","",IF(WEEKDAY($A123,2)&lt;&gt;7,"",IF(AND(OR(AK123="",N(AK123)&gt;=$A123+16/24,N(AL123)&lt;=$A123+6/24),OR(AM123="",N(AM123)&lt;=$A123+6/24)),1,0)))</f>
        <v/>
      </c>
      <c r="AR123" s="26" t="str">
        <f aca="false">IF($A123="","",IF(INDEX(Muster!$C$10:$BF$10,1,MOD($A123-Einstellungen!$C$6,Einstellungen!$C$7)+1)="","-",INDEX(Muster!$C$10:$BF$10,1,MOD($A123-Einstellungen!$C$6,Einstellungen!$C$7)+1)))</f>
        <v>-</v>
      </c>
      <c r="AS123" s="27" t="n">
        <f aca="false">IF($A123="","",IFERROR(VLOOKUP(AR123,Schichten!$A$5:$G$24,6,FALSE()),0))</f>
        <v>0</v>
      </c>
      <c r="AT123" s="27" t="n">
        <f aca="false">IF($A123="","",IFERROR(VLOOKUP(AR123,Schichten!$A$5:$G$24,7,FALSE()),0))</f>
        <v>0</v>
      </c>
      <c r="AU123" s="28" t="str">
        <f aca="false">IF($A123="","",IF(N(AS123)=0,"",$A123+VLOOKUP(AR123,Schichten!$A$5:$G$24,3,FALSE())))</f>
        <v/>
      </c>
      <c r="AV123" s="28" t="str">
        <f aca="false">IF(AU123="","",$A123+VLOOKUP(AR123,Schichten!$A$5:$G$24,4,FALSE())+IF(VLOOKUP(AR123,Schichten!$A$5:$G$24,4,FALSE())&lt;=VLOOKUP(AR123,Schichten!$A$5:$G$24,3,FALSE()),1,0))</f>
        <v/>
      </c>
      <c r="AW123" s="28" t="str">
        <f aca="false">IF($A123="","",IF(N(AS122)&gt;0,AV122,AW122))</f>
        <v/>
      </c>
      <c r="AX123" s="27" t="str">
        <f aca="false">IF(OR(AU123="",AW123=""),"",(AU123-AW123)*24)</f>
        <v/>
      </c>
      <c r="AY123" s="21" t="n">
        <f aca="false">IF($A123="","",IF(N(AS123)&gt;0,N(AY122)+1,0))</f>
        <v>0</v>
      </c>
      <c r="AZ123" s="21" t="n">
        <f aca="false">IF($A123="","",IF(N(AT123)&gt;0,N(AZ122)+1,0))</f>
        <v>0</v>
      </c>
      <c r="BA123" s="21" t="str">
        <f aca="false">IF($A123="","",IF(WEEKDAY($A123,2)&lt;&gt;7,"",IF(AND(OR(AU123="",N(AU123)&gt;=$A123+16/24,N(AV123)&lt;=$A123+6/24),OR(AW123="",N(AW123)&lt;=$A123+6/24)),1,0)))</f>
        <v/>
      </c>
    </row>
    <row r="124" customFormat="false" ht="15" hidden="false" customHeight="false" outlineLevel="0" collapsed="false">
      <c r="A124" s="25" t="n">
        <f aca="false">IF(YEAR(DATE(Einstellungen!$C$4,1,1)+119)=Einstellungen!$C$4,DATE(Einstellungen!$C$4,1,1)+119,"")</f>
        <v>46507</v>
      </c>
      <c r="B124" s="26" t="str">
        <f aca="false">IF($A124="","",CHOOSE(WEEKDAY($A124,2),"Mo","Di","Mi","Do","Fr","Sa","So"))</f>
        <v>Fr</v>
      </c>
      <c r="C124" s="26" t="n">
        <f aca="false">IF($A124="","",MONTH($A124))</f>
        <v>4</v>
      </c>
      <c r="D124" s="26" t="str">
        <f aca="false">IF($A124="","",IF(INDEX(Muster!$C$6:$BF$6,1,MOD($A124-Einstellungen!$C$6,Einstellungen!$C$7)+1)="","-",INDEX(Muster!$C$6:$BF$6,1,MOD($A124-Einstellungen!$C$6,Einstellungen!$C$7)+1)))</f>
        <v>N</v>
      </c>
      <c r="E124" s="27" t="n">
        <f aca="false">IF($A124="","",IFERROR(VLOOKUP(D124,Schichten!$A$5:$G$24,6,FALSE()),0))</f>
        <v>8</v>
      </c>
      <c r="F124" s="27" t="n">
        <f aca="false">IF($A124="","",IFERROR(VLOOKUP(D124,Schichten!$A$5:$G$24,7,FALSE()),0))</f>
        <v>7</v>
      </c>
      <c r="G124" s="28" t="n">
        <f aca="false">IF($A124="","",IF(N(E124)=0,"",$A124+VLOOKUP(D124,Schichten!$A$5:$G$24,3,FALSE())))</f>
        <v>46507.9166666667</v>
      </c>
      <c r="H124" s="28" t="n">
        <f aca="false">IF(G124="","",$A124+VLOOKUP(D124,Schichten!$A$5:$G$24,4,FALSE())+IF(VLOOKUP(D124,Schichten!$A$5:$G$24,4,FALSE())&lt;=VLOOKUP(D124,Schichten!$A$5:$G$24,3,FALSE()),1,0))</f>
        <v>46508.25</v>
      </c>
      <c r="I124" s="28" t="n">
        <f aca="false">IF($A124="","",IF(N(E123)&gt;0,H123,I123))</f>
        <v>46506.9166666667</v>
      </c>
      <c r="J124" s="27" t="n">
        <f aca="false">IF(OR(G124="",I124=""),"",(G124-I124)*24)</f>
        <v>24</v>
      </c>
      <c r="K124" s="21" t="n">
        <f aca="false">IF($A124="","",IF(N(E124)&gt;0,N(K123)+1,0))</f>
        <v>5</v>
      </c>
      <c r="L124" s="21" t="n">
        <f aca="false">IF($A124="","",IF(N(F124)&gt;0,N(L123)+1,0))</f>
        <v>1</v>
      </c>
      <c r="M124" s="21" t="str">
        <f aca="false">IF($A124="","",IF(WEEKDAY($A124,2)&lt;&gt;7,"",IF(AND(OR(G124="",N(G124)&gt;=$A124+16/24,N(H124)&lt;=$A124+6/24),OR(I124="",N(I124)&lt;=$A124+6/24)),1,0)))</f>
        <v/>
      </c>
      <c r="N124" s="26" t="str">
        <f aca="false">IF($A124="","",IF(INDEX(Muster!$C$7:$BF$7,1,MOD($A124-Einstellungen!$C$6,Einstellungen!$C$7)+1)="","-",INDEX(Muster!$C$7:$BF$7,1,MOD($A124-Einstellungen!$C$6,Einstellungen!$C$7)+1)))</f>
        <v>S</v>
      </c>
      <c r="O124" s="27" t="n">
        <f aca="false">IF($A124="","",IFERROR(VLOOKUP(N124,Schichten!$A$5:$G$24,6,FALSE()),0))</f>
        <v>8</v>
      </c>
      <c r="P124" s="27" t="n">
        <f aca="false">IF($A124="","",IFERROR(VLOOKUP(N124,Schichten!$A$5:$G$24,7,FALSE()),0))</f>
        <v>0</v>
      </c>
      <c r="Q124" s="28" t="n">
        <f aca="false">IF($A124="","",IF(N(O124)=0,"",$A124+VLOOKUP(N124,Schichten!$A$5:$G$24,3,FALSE())))</f>
        <v>46507.5833333333</v>
      </c>
      <c r="R124" s="28" t="n">
        <f aca="false">IF(Q124="","",$A124+VLOOKUP(N124,Schichten!$A$5:$G$24,4,FALSE())+IF(VLOOKUP(N124,Schichten!$A$5:$G$24,4,FALSE())&lt;=VLOOKUP(N124,Schichten!$A$5:$G$24,3,FALSE()),1,0))</f>
        <v>46507.9166666667</v>
      </c>
      <c r="S124" s="28" t="n">
        <f aca="false">IF($A124="","",IF(N(O123)&gt;0,R123,S123))</f>
        <v>46506.5833333333</v>
      </c>
      <c r="T124" s="27" t="n">
        <f aca="false">IF(OR(Q124="",S124=""),"",(Q124-S124)*24)</f>
        <v>24</v>
      </c>
      <c r="U124" s="21" t="n">
        <f aca="false">IF($A124="","",IF(N(O124)&gt;0,N(U123)+1,0))</f>
        <v>3</v>
      </c>
      <c r="V124" s="21" t="n">
        <f aca="false">IF($A124="","",IF(N(P124)&gt;0,N(V123)+1,0))</f>
        <v>0</v>
      </c>
      <c r="W124" s="21" t="str">
        <f aca="false">IF($A124="","",IF(WEEKDAY($A124,2)&lt;&gt;7,"",IF(AND(OR(Q124="",N(Q124)&gt;=$A124+16/24,N(R124)&lt;=$A124+6/24),OR(S124="",N(S124)&lt;=$A124+6/24)),1,0)))</f>
        <v/>
      </c>
      <c r="X124" s="26" t="str">
        <f aca="false">IF($A124="","",IF(INDEX(Muster!$C$8:$BF$8,1,MOD($A124-Einstellungen!$C$6,Einstellungen!$C$7)+1)="","-",INDEX(Muster!$C$8:$BF$8,1,MOD($A124-Einstellungen!$C$6,Einstellungen!$C$7)+1)))</f>
        <v>F</v>
      </c>
      <c r="Y124" s="27" t="n">
        <f aca="false">IF($A124="","",IFERROR(VLOOKUP(X124,Schichten!$A$5:$G$24,6,FALSE()),0))</f>
        <v>8</v>
      </c>
      <c r="Z124" s="27" t="n">
        <f aca="false">IF($A124="","",IFERROR(VLOOKUP(X124,Schichten!$A$5:$G$24,7,FALSE()),0))</f>
        <v>0</v>
      </c>
      <c r="AA124" s="28" t="n">
        <f aca="false">IF($A124="","",IF(N(Y124)=0,"",$A124+VLOOKUP(X124,Schichten!$A$5:$G$24,3,FALSE())))</f>
        <v>46507.25</v>
      </c>
      <c r="AB124" s="28" t="n">
        <f aca="false">IF(AA124="","",$A124+VLOOKUP(X124,Schichten!$A$5:$G$24,4,FALSE())+IF(VLOOKUP(X124,Schichten!$A$5:$G$24,4,FALSE())&lt;=VLOOKUP(X124,Schichten!$A$5:$G$24,3,FALSE()),1,0))</f>
        <v>46507.5833333333</v>
      </c>
      <c r="AC124" s="28" t="n">
        <f aca="false">IF($A124="","",IF(N(Y123)&gt;0,AB123,AC123))</f>
        <v>46505.25</v>
      </c>
      <c r="AD124" s="27" t="n">
        <f aca="false">IF(OR(AA124="",AC124=""),"",(AA124-AC124)*24)</f>
        <v>48</v>
      </c>
      <c r="AE124" s="21" t="n">
        <f aca="false">IF($A124="","",IF(N(Y124)&gt;0,N(AE123)+1,0))</f>
        <v>1</v>
      </c>
      <c r="AF124" s="21" t="n">
        <f aca="false">IF($A124="","",IF(N(Z124)&gt;0,N(AF123)+1,0))</f>
        <v>0</v>
      </c>
      <c r="AG124" s="21" t="str">
        <f aca="false">IF($A124="","",IF(WEEKDAY($A124,2)&lt;&gt;7,"",IF(AND(OR(AA124="",N(AA124)&gt;=$A124+16/24,N(AB124)&lt;=$A124+6/24),OR(AC124="",N(AC124)&lt;=$A124+6/24)),1,0)))</f>
        <v/>
      </c>
      <c r="AH124" s="26" t="str">
        <f aca="false">IF($A124="","",IF(INDEX(Muster!$C$9:$BF$9,1,MOD($A124-Einstellungen!$C$6,Einstellungen!$C$7)+1)="","-",INDEX(Muster!$C$9:$BF$9,1,MOD($A124-Einstellungen!$C$6,Einstellungen!$C$7)+1)))</f>
        <v>-</v>
      </c>
      <c r="AI124" s="27" t="n">
        <f aca="false">IF($A124="","",IFERROR(VLOOKUP(AH124,Schichten!$A$5:$G$24,6,FALSE()),0))</f>
        <v>0</v>
      </c>
      <c r="AJ124" s="27" t="n">
        <f aca="false">IF($A124="","",IFERROR(VLOOKUP(AH124,Schichten!$A$5:$G$24,7,FALSE()),0))</f>
        <v>0</v>
      </c>
      <c r="AK124" s="28" t="str">
        <f aca="false">IF($A124="","",IF(N(AI124)=0,"",$A124+VLOOKUP(AH124,Schichten!$A$5:$G$24,3,FALSE())))</f>
        <v/>
      </c>
      <c r="AL124" s="28" t="str">
        <f aca="false">IF(AK124="","",$A124+VLOOKUP(AH124,Schichten!$A$5:$G$24,4,FALSE())+IF(VLOOKUP(AH124,Schichten!$A$5:$G$24,4,FALSE())&lt;=VLOOKUP(AH124,Schichten!$A$5:$G$24,3,FALSE()),1,0))</f>
        <v/>
      </c>
      <c r="AM124" s="28" t="n">
        <f aca="false">IF($A124="","",IF(N(AI123)&gt;0,AL123,AM123))</f>
        <v>46507.25</v>
      </c>
      <c r="AN124" s="27" t="str">
        <f aca="false">IF(OR(AK124="",AM124=""),"",(AK124-AM124)*24)</f>
        <v/>
      </c>
      <c r="AO124" s="21" t="n">
        <f aca="false">IF($A124="","",IF(N(AI124)&gt;0,N(AO123)+1,0))</f>
        <v>0</v>
      </c>
      <c r="AP124" s="21" t="n">
        <f aca="false">IF($A124="","",IF(N(AJ124)&gt;0,N(AP123)+1,0))</f>
        <v>0</v>
      </c>
      <c r="AQ124" s="21" t="str">
        <f aca="false">IF($A124="","",IF(WEEKDAY($A124,2)&lt;&gt;7,"",IF(AND(OR(AK124="",N(AK124)&gt;=$A124+16/24,N(AL124)&lt;=$A124+6/24),OR(AM124="",N(AM124)&lt;=$A124+6/24)),1,0)))</f>
        <v/>
      </c>
      <c r="AR124" s="26" t="str">
        <f aca="false">IF($A124="","",IF(INDEX(Muster!$C$10:$BF$10,1,MOD($A124-Einstellungen!$C$6,Einstellungen!$C$7)+1)="","-",INDEX(Muster!$C$10:$BF$10,1,MOD($A124-Einstellungen!$C$6,Einstellungen!$C$7)+1)))</f>
        <v>-</v>
      </c>
      <c r="AS124" s="27" t="n">
        <f aca="false">IF($A124="","",IFERROR(VLOOKUP(AR124,Schichten!$A$5:$G$24,6,FALSE()),0))</f>
        <v>0</v>
      </c>
      <c r="AT124" s="27" t="n">
        <f aca="false">IF($A124="","",IFERROR(VLOOKUP(AR124,Schichten!$A$5:$G$24,7,FALSE()),0))</f>
        <v>0</v>
      </c>
      <c r="AU124" s="28" t="str">
        <f aca="false">IF($A124="","",IF(N(AS124)=0,"",$A124+VLOOKUP(AR124,Schichten!$A$5:$G$24,3,FALSE())))</f>
        <v/>
      </c>
      <c r="AV124" s="28" t="str">
        <f aca="false">IF(AU124="","",$A124+VLOOKUP(AR124,Schichten!$A$5:$G$24,4,FALSE())+IF(VLOOKUP(AR124,Schichten!$A$5:$G$24,4,FALSE())&lt;=VLOOKUP(AR124,Schichten!$A$5:$G$24,3,FALSE()),1,0))</f>
        <v/>
      </c>
      <c r="AW124" s="28" t="str">
        <f aca="false">IF($A124="","",IF(N(AS123)&gt;0,AV123,AW123))</f>
        <v/>
      </c>
      <c r="AX124" s="27" t="str">
        <f aca="false">IF(OR(AU124="",AW124=""),"",(AU124-AW124)*24)</f>
        <v/>
      </c>
      <c r="AY124" s="21" t="n">
        <f aca="false">IF($A124="","",IF(N(AS124)&gt;0,N(AY123)+1,0))</f>
        <v>0</v>
      </c>
      <c r="AZ124" s="21" t="n">
        <f aca="false">IF($A124="","",IF(N(AT124)&gt;0,N(AZ123)+1,0))</f>
        <v>0</v>
      </c>
      <c r="BA124" s="21" t="str">
        <f aca="false">IF($A124="","",IF(WEEKDAY($A124,2)&lt;&gt;7,"",IF(AND(OR(AU124="",N(AU124)&gt;=$A124+16/24,N(AV124)&lt;=$A124+6/24),OR(AW124="",N(AW124)&lt;=$A124+6/24)),1,0)))</f>
        <v/>
      </c>
    </row>
    <row r="125" customFormat="false" ht="15" hidden="false" customHeight="false" outlineLevel="0" collapsed="false">
      <c r="A125" s="25" t="n">
        <f aca="false">IF(YEAR(DATE(Einstellungen!$C$4,1,1)+120)=Einstellungen!$C$4,DATE(Einstellungen!$C$4,1,1)+120,"")</f>
        <v>46508</v>
      </c>
      <c r="B125" s="26" t="str">
        <f aca="false">IF($A125="","",CHOOSE(WEEKDAY($A125,2),"Mo","Di","Mi","Do","Fr","Sa","So"))</f>
        <v>Sa</v>
      </c>
      <c r="C125" s="26" t="n">
        <f aca="false">IF($A125="","",MONTH($A125))</f>
        <v>5</v>
      </c>
      <c r="D125" s="26" t="str">
        <f aca="false">IF($A125="","",IF(INDEX(Muster!$C$6:$BF$6,1,MOD($A125-Einstellungen!$C$6,Einstellungen!$C$7)+1)="","-",INDEX(Muster!$C$6:$BF$6,1,MOD($A125-Einstellungen!$C$6,Einstellungen!$C$7)+1)))</f>
        <v>N</v>
      </c>
      <c r="E125" s="27" t="n">
        <f aca="false">IF($A125="","",IFERROR(VLOOKUP(D125,Schichten!$A$5:$G$24,6,FALSE()),0))</f>
        <v>8</v>
      </c>
      <c r="F125" s="27" t="n">
        <f aca="false">IF($A125="","",IFERROR(VLOOKUP(D125,Schichten!$A$5:$G$24,7,FALSE()),0))</f>
        <v>7</v>
      </c>
      <c r="G125" s="28" t="n">
        <f aca="false">IF($A125="","",IF(N(E125)=0,"",$A125+VLOOKUP(D125,Schichten!$A$5:$G$24,3,FALSE())))</f>
        <v>46508.9166666667</v>
      </c>
      <c r="H125" s="28" t="n">
        <f aca="false">IF(G125="","",$A125+VLOOKUP(D125,Schichten!$A$5:$G$24,4,FALSE())+IF(VLOOKUP(D125,Schichten!$A$5:$G$24,4,FALSE())&lt;=VLOOKUP(D125,Schichten!$A$5:$G$24,3,FALSE()),1,0))</f>
        <v>46509.25</v>
      </c>
      <c r="I125" s="28" t="n">
        <f aca="false">IF($A125="","",IF(N(E124)&gt;0,H124,I124))</f>
        <v>46508.25</v>
      </c>
      <c r="J125" s="27" t="n">
        <f aca="false">IF(OR(G125="",I125=""),"",(G125-I125)*24)</f>
        <v>16</v>
      </c>
      <c r="K125" s="21" t="n">
        <f aca="false">IF($A125="","",IF(N(E125)&gt;0,N(K124)+1,0))</f>
        <v>6</v>
      </c>
      <c r="L125" s="21" t="n">
        <f aca="false">IF($A125="","",IF(N(F125)&gt;0,N(L124)+1,0))</f>
        <v>2</v>
      </c>
      <c r="M125" s="21" t="str">
        <f aca="false">IF($A125="","",IF(WEEKDAY($A125,2)&lt;&gt;7,"",IF(AND(OR(G125="",N(G125)&gt;=$A125+16/24,N(H125)&lt;=$A125+6/24),OR(I125="",N(I125)&lt;=$A125+6/24)),1,0)))</f>
        <v/>
      </c>
      <c r="N125" s="26" t="str">
        <f aca="false">IF($A125="","",IF(INDEX(Muster!$C$7:$BF$7,1,MOD($A125-Einstellungen!$C$6,Einstellungen!$C$7)+1)="","-",INDEX(Muster!$C$7:$BF$7,1,MOD($A125-Einstellungen!$C$6,Einstellungen!$C$7)+1)))</f>
        <v>S</v>
      </c>
      <c r="O125" s="27" t="n">
        <f aca="false">IF($A125="","",IFERROR(VLOOKUP(N125,Schichten!$A$5:$G$24,6,FALSE()),0))</f>
        <v>8</v>
      </c>
      <c r="P125" s="27" t="n">
        <f aca="false">IF($A125="","",IFERROR(VLOOKUP(N125,Schichten!$A$5:$G$24,7,FALSE()),0))</f>
        <v>0</v>
      </c>
      <c r="Q125" s="28" t="n">
        <f aca="false">IF($A125="","",IF(N(O125)=0,"",$A125+VLOOKUP(N125,Schichten!$A$5:$G$24,3,FALSE())))</f>
        <v>46508.5833333333</v>
      </c>
      <c r="R125" s="28" t="n">
        <f aca="false">IF(Q125="","",$A125+VLOOKUP(N125,Schichten!$A$5:$G$24,4,FALSE())+IF(VLOOKUP(N125,Schichten!$A$5:$G$24,4,FALSE())&lt;=VLOOKUP(N125,Schichten!$A$5:$G$24,3,FALSE()),1,0))</f>
        <v>46508.9166666667</v>
      </c>
      <c r="S125" s="28" t="n">
        <f aca="false">IF($A125="","",IF(N(O124)&gt;0,R124,S124))</f>
        <v>46507.9166666667</v>
      </c>
      <c r="T125" s="27" t="n">
        <f aca="false">IF(OR(Q125="",S125=""),"",(Q125-S125)*24)</f>
        <v>16</v>
      </c>
      <c r="U125" s="21" t="n">
        <f aca="false">IF($A125="","",IF(N(O125)&gt;0,N(U124)+1,0))</f>
        <v>4</v>
      </c>
      <c r="V125" s="21" t="n">
        <f aca="false">IF($A125="","",IF(N(P125)&gt;0,N(V124)+1,0))</f>
        <v>0</v>
      </c>
      <c r="W125" s="21" t="str">
        <f aca="false">IF($A125="","",IF(WEEKDAY($A125,2)&lt;&gt;7,"",IF(AND(OR(Q125="",N(Q125)&gt;=$A125+16/24,N(R125)&lt;=$A125+6/24),OR(S125="",N(S125)&lt;=$A125+6/24)),1,0)))</f>
        <v/>
      </c>
      <c r="X125" s="26" t="str">
        <f aca="false">IF($A125="","",IF(INDEX(Muster!$C$8:$BF$8,1,MOD($A125-Einstellungen!$C$6,Einstellungen!$C$7)+1)="","-",INDEX(Muster!$C$8:$BF$8,1,MOD($A125-Einstellungen!$C$6,Einstellungen!$C$7)+1)))</f>
        <v>F</v>
      </c>
      <c r="Y125" s="27" t="n">
        <f aca="false">IF($A125="","",IFERROR(VLOOKUP(X125,Schichten!$A$5:$G$24,6,FALSE()),0))</f>
        <v>8</v>
      </c>
      <c r="Z125" s="27" t="n">
        <f aca="false">IF($A125="","",IFERROR(VLOOKUP(X125,Schichten!$A$5:$G$24,7,FALSE()),0))</f>
        <v>0</v>
      </c>
      <c r="AA125" s="28" t="n">
        <f aca="false">IF($A125="","",IF(N(Y125)=0,"",$A125+VLOOKUP(X125,Schichten!$A$5:$G$24,3,FALSE())))</f>
        <v>46508.25</v>
      </c>
      <c r="AB125" s="28" t="n">
        <f aca="false">IF(AA125="","",$A125+VLOOKUP(X125,Schichten!$A$5:$G$24,4,FALSE())+IF(VLOOKUP(X125,Schichten!$A$5:$G$24,4,FALSE())&lt;=VLOOKUP(X125,Schichten!$A$5:$G$24,3,FALSE()),1,0))</f>
        <v>46508.5833333333</v>
      </c>
      <c r="AC125" s="28" t="n">
        <f aca="false">IF($A125="","",IF(N(Y124)&gt;0,AB124,AC124))</f>
        <v>46507.5833333333</v>
      </c>
      <c r="AD125" s="27" t="n">
        <f aca="false">IF(OR(AA125="",AC125=""),"",(AA125-AC125)*24)</f>
        <v>16</v>
      </c>
      <c r="AE125" s="21" t="n">
        <f aca="false">IF($A125="","",IF(N(Y125)&gt;0,N(AE124)+1,0))</f>
        <v>2</v>
      </c>
      <c r="AF125" s="21" t="n">
        <f aca="false">IF($A125="","",IF(N(Z125)&gt;0,N(AF124)+1,0))</f>
        <v>0</v>
      </c>
      <c r="AG125" s="21" t="str">
        <f aca="false">IF($A125="","",IF(WEEKDAY($A125,2)&lt;&gt;7,"",IF(AND(OR(AA125="",N(AA125)&gt;=$A125+16/24,N(AB125)&lt;=$A125+6/24),OR(AC125="",N(AC125)&lt;=$A125+6/24)),1,0)))</f>
        <v/>
      </c>
      <c r="AH125" s="26" t="str">
        <f aca="false">IF($A125="","",IF(INDEX(Muster!$C$9:$BF$9,1,MOD($A125-Einstellungen!$C$6,Einstellungen!$C$7)+1)="","-",INDEX(Muster!$C$9:$BF$9,1,MOD($A125-Einstellungen!$C$6,Einstellungen!$C$7)+1)))</f>
        <v>-</v>
      </c>
      <c r="AI125" s="27" t="n">
        <f aca="false">IF($A125="","",IFERROR(VLOOKUP(AH125,Schichten!$A$5:$G$24,6,FALSE()),0))</f>
        <v>0</v>
      </c>
      <c r="AJ125" s="27" t="n">
        <f aca="false">IF($A125="","",IFERROR(VLOOKUP(AH125,Schichten!$A$5:$G$24,7,FALSE()),0))</f>
        <v>0</v>
      </c>
      <c r="AK125" s="28" t="str">
        <f aca="false">IF($A125="","",IF(N(AI125)=0,"",$A125+VLOOKUP(AH125,Schichten!$A$5:$G$24,3,FALSE())))</f>
        <v/>
      </c>
      <c r="AL125" s="28" t="str">
        <f aca="false">IF(AK125="","",$A125+VLOOKUP(AH125,Schichten!$A$5:$G$24,4,FALSE())+IF(VLOOKUP(AH125,Schichten!$A$5:$G$24,4,FALSE())&lt;=VLOOKUP(AH125,Schichten!$A$5:$G$24,3,FALSE()),1,0))</f>
        <v/>
      </c>
      <c r="AM125" s="28" t="n">
        <f aca="false">IF($A125="","",IF(N(AI124)&gt;0,AL124,AM124))</f>
        <v>46507.25</v>
      </c>
      <c r="AN125" s="27" t="str">
        <f aca="false">IF(OR(AK125="",AM125=""),"",(AK125-AM125)*24)</f>
        <v/>
      </c>
      <c r="AO125" s="21" t="n">
        <f aca="false">IF($A125="","",IF(N(AI125)&gt;0,N(AO124)+1,0))</f>
        <v>0</v>
      </c>
      <c r="AP125" s="21" t="n">
        <f aca="false">IF($A125="","",IF(N(AJ125)&gt;0,N(AP124)+1,0))</f>
        <v>0</v>
      </c>
      <c r="AQ125" s="21" t="str">
        <f aca="false">IF($A125="","",IF(WEEKDAY($A125,2)&lt;&gt;7,"",IF(AND(OR(AK125="",N(AK125)&gt;=$A125+16/24,N(AL125)&lt;=$A125+6/24),OR(AM125="",N(AM125)&lt;=$A125+6/24)),1,0)))</f>
        <v/>
      </c>
      <c r="AR125" s="26" t="str">
        <f aca="false">IF($A125="","",IF(INDEX(Muster!$C$10:$BF$10,1,MOD($A125-Einstellungen!$C$6,Einstellungen!$C$7)+1)="","-",INDEX(Muster!$C$10:$BF$10,1,MOD($A125-Einstellungen!$C$6,Einstellungen!$C$7)+1)))</f>
        <v>-</v>
      </c>
      <c r="AS125" s="27" t="n">
        <f aca="false">IF($A125="","",IFERROR(VLOOKUP(AR125,Schichten!$A$5:$G$24,6,FALSE()),0))</f>
        <v>0</v>
      </c>
      <c r="AT125" s="27" t="n">
        <f aca="false">IF($A125="","",IFERROR(VLOOKUP(AR125,Schichten!$A$5:$G$24,7,FALSE()),0))</f>
        <v>0</v>
      </c>
      <c r="AU125" s="28" t="str">
        <f aca="false">IF($A125="","",IF(N(AS125)=0,"",$A125+VLOOKUP(AR125,Schichten!$A$5:$G$24,3,FALSE())))</f>
        <v/>
      </c>
      <c r="AV125" s="28" t="str">
        <f aca="false">IF(AU125="","",$A125+VLOOKUP(AR125,Schichten!$A$5:$G$24,4,FALSE())+IF(VLOOKUP(AR125,Schichten!$A$5:$G$24,4,FALSE())&lt;=VLOOKUP(AR125,Schichten!$A$5:$G$24,3,FALSE()),1,0))</f>
        <v/>
      </c>
      <c r="AW125" s="28" t="str">
        <f aca="false">IF($A125="","",IF(N(AS124)&gt;0,AV124,AW124))</f>
        <v/>
      </c>
      <c r="AX125" s="27" t="str">
        <f aca="false">IF(OR(AU125="",AW125=""),"",(AU125-AW125)*24)</f>
        <v/>
      </c>
      <c r="AY125" s="21" t="n">
        <f aca="false">IF($A125="","",IF(N(AS125)&gt;0,N(AY124)+1,0))</f>
        <v>0</v>
      </c>
      <c r="AZ125" s="21" t="n">
        <f aca="false">IF($A125="","",IF(N(AT125)&gt;0,N(AZ124)+1,0))</f>
        <v>0</v>
      </c>
      <c r="BA125" s="21" t="str">
        <f aca="false">IF($A125="","",IF(WEEKDAY($A125,2)&lt;&gt;7,"",IF(AND(OR(AU125="",N(AU125)&gt;=$A125+16/24,N(AV125)&lt;=$A125+6/24),OR(AW125="",N(AW125)&lt;=$A125+6/24)),1,0)))</f>
        <v/>
      </c>
    </row>
    <row r="126" customFormat="false" ht="15" hidden="false" customHeight="false" outlineLevel="0" collapsed="false">
      <c r="A126" s="25" t="n">
        <f aca="false">IF(YEAR(DATE(Einstellungen!$C$4,1,1)+121)=Einstellungen!$C$4,DATE(Einstellungen!$C$4,1,1)+121,"")</f>
        <v>46509</v>
      </c>
      <c r="B126" s="26" t="str">
        <f aca="false">IF($A126="","",CHOOSE(WEEKDAY($A126,2),"Mo","Di","Mi","Do","Fr","Sa","So"))</f>
        <v>So</v>
      </c>
      <c r="C126" s="26" t="n">
        <f aca="false">IF($A126="","",MONTH($A126))</f>
        <v>5</v>
      </c>
      <c r="D126" s="26" t="str">
        <f aca="false">IF($A126="","",IF(INDEX(Muster!$C$6:$BF$6,1,MOD($A126-Einstellungen!$C$6,Einstellungen!$C$7)+1)="","-",INDEX(Muster!$C$6:$BF$6,1,MOD($A126-Einstellungen!$C$6,Einstellungen!$C$7)+1)))</f>
        <v>-</v>
      </c>
      <c r="E126" s="27" t="n">
        <f aca="false">IF($A126="","",IFERROR(VLOOKUP(D126,Schichten!$A$5:$G$24,6,FALSE()),0))</f>
        <v>0</v>
      </c>
      <c r="F126" s="27" t="n">
        <f aca="false">IF($A126="","",IFERROR(VLOOKUP(D126,Schichten!$A$5:$G$24,7,FALSE()),0))</f>
        <v>0</v>
      </c>
      <c r="G126" s="28" t="str">
        <f aca="false">IF($A126="","",IF(N(E126)=0,"",$A126+VLOOKUP(D126,Schichten!$A$5:$G$24,3,FALSE())))</f>
        <v/>
      </c>
      <c r="H126" s="28" t="str">
        <f aca="false">IF(G126="","",$A126+VLOOKUP(D126,Schichten!$A$5:$G$24,4,FALSE())+IF(VLOOKUP(D126,Schichten!$A$5:$G$24,4,FALSE())&lt;=VLOOKUP(D126,Schichten!$A$5:$G$24,3,FALSE()),1,0))</f>
        <v/>
      </c>
      <c r="I126" s="28" t="n">
        <f aca="false">IF($A126="","",IF(N(E125)&gt;0,H125,I125))</f>
        <v>46509.25</v>
      </c>
      <c r="J126" s="27" t="str">
        <f aca="false">IF(OR(G126="",I126=""),"",(G126-I126)*24)</f>
        <v/>
      </c>
      <c r="K126" s="21" t="n">
        <f aca="false">IF($A126="","",IF(N(E126)&gt;0,N(K125)+1,0))</f>
        <v>0</v>
      </c>
      <c r="L126" s="21" t="n">
        <f aca="false">IF($A126="","",IF(N(F126)&gt;0,N(L125)+1,0))</f>
        <v>0</v>
      </c>
      <c r="M126" s="21" t="n">
        <f aca="false">IF($A126="","",IF(WEEKDAY($A126,2)&lt;&gt;7,"",IF(AND(OR(G126="",N(G126)&gt;=$A126+16/24,N(H126)&lt;=$A126+6/24),OR(I126="",N(I126)&lt;=$A126+6/24)),1,0)))</f>
        <v>1</v>
      </c>
      <c r="N126" s="26" t="str">
        <f aca="false">IF($A126="","",IF(INDEX(Muster!$C$7:$BF$7,1,MOD($A126-Einstellungen!$C$6,Einstellungen!$C$7)+1)="","-",INDEX(Muster!$C$7:$BF$7,1,MOD($A126-Einstellungen!$C$6,Einstellungen!$C$7)+1)))</f>
        <v>N</v>
      </c>
      <c r="O126" s="27" t="n">
        <f aca="false">IF($A126="","",IFERROR(VLOOKUP(N126,Schichten!$A$5:$G$24,6,FALSE()),0))</f>
        <v>8</v>
      </c>
      <c r="P126" s="27" t="n">
        <f aca="false">IF($A126="","",IFERROR(VLOOKUP(N126,Schichten!$A$5:$G$24,7,FALSE()),0))</f>
        <v>7</v>
      </c>
      <c r="Q126" s="28" t="n">
        <f aca="false">IF($A126="","",IF(N(O126)=0,"",$A126+VLOOKUP(N126,Schichten!$A$5:$G$24,3,FALSE())))</f>
        <v>46509.9166666667</v>
      </c>
      <c r="R126" s="28" t="n">
        <f aca="false">IF(Q126="","",$A126+VLOOKUP(N126,Schichten!$A$5:$G$24,4,FALSE())+IF(VLOOKUP(N126,Schichten!$A$5:$G$24,4,FALSE())&lt;=VLOOKUP(N126,Schichten!$A$5:$G$24,3,FALSE()),1,0))</f>
        <v>46510.25</v>
      </c>
      <c r="S126" s="28" t="n">
        <f aca="false">IF($A126="","",IF(N(O125)&gt;0,R125,S125))</f>
        <v>46508.9166666667</v>
      </c>
      <c r="T126" s="27" t="n">
        <f aca="false">IF(OR(Q126="",S126=""),"",(Q126-S126)*24)</f>
        <v>24</v>
      </c>
      <c r="U126" s="21" t="n">
        <f aca="false">IF($A126="","",IF(N(O126)&gt;0,N(U125)+1,0))</f>
        <v>5</v>
      </c>
      <c r="V126" s="21" t="n">
        <f aca="false">IF($A126="","",IF(N(P126)&gt;0,N(V125)+1,0))</f>
        <v>1</v>
      </c>
      <c r="W126" s="21" t="n">
        <f aca="false">IF($A126="","",IF(WEEKDAY($A126,2)&lt;&gt;7,"",IF(AND(OR(Q126="",N(Q126)&gt;=$A126+16/24,N(R126)&lt;=$A126+6/24),OR(S126="",N(S126)&lt;=$A126+6/24)),1,0)))</f>
        <v>1</v>
      </c>
      <c r="X126" s="26" t="str">
        <f aca="false">IF($A126="","",IF(INDEX(Muster!$C$8:$BF$8,1,MOD($A126-Einstellungen!$C$6,Einstellungen!$C$7)+1)="","-",INDEX(Muster!$C$8:$BF$8,1,MOD($A126-Einstellungen!$C$6,Einstellungen!$C$7)+1)))</f>
        <v>S</v>
      </c>
      <c r="Y126" s="27" t="n">
        <f aca="false">IF($A126="","",IFERROR(VLOOKUP(X126,Schichten!$A$5:$G$24,6,FALSE()),0))</f>
        <v>8</v>
      </c>
      <c r="Z126" s="27" t="n">
        <f aca="false">IF($A126="","",IFERROR(VLOOKUP(X126,Schichten!$A$5:$G$24,7,FALSE()),0))</f>
        <v>0</v>
      </c>
      <c r="AA126" s="28" t="n">
        <f aca="false">IF($A126="","",IF(N(Y126)=0,"",$A126+VLOOKUP(X126,Schichten!$A$5:$G$24,3,FALSE())))</f>
        <v>46509.5833333333</v>
      </c>
      <c r="AB126" s="28" t="n">
        <f aca="false">IF(AA126="","",$A126+VLOOKUP(X126,Schichten!$A$5:$G$24,4,FALSE())+IF(VLOOKUP(X126,Schichten!$A$5:$G$24,4,FALSE())&lt;=VLOOKUP(X126,Schichten!$A$5:$G$24,3,FALSE()),1,0))</f>
        <v>46509.9166666667</v>
      </c>
      <c r="AC126" s="28" t="n">
        <f aca="false">IF($A126="","",IF(N(Y125)&gt;0,AB125,AC125))</f>
        <v>46508.5833333333</v>
      </c>
      <c r="AD126" s="27" t="n">
        <f aca="false">IF(OR(AA126="",AC126=""),"",(AA126-AC126)*24)</f>
        <v>24</v>
      </c>
      <c r="AE126" s="21" t="n">
        <f aca="false">IF($A126="","",IF(N(Y126)&gt;0,N(AE125)+1,0))</f>
        <v>3</v>
      </c>
      <c r="AF126" s="21" t="n">
        <f aca="false">IF($A126="","",IF(N(Z126)&gt;0,N(AF125)+1,0))</f>
        <v>0</v>
      </c>
      <c r="AG126" s="21" t="n">
        <f aca="false">IF($A126="","",IF(WEEKDAY($A126,2)&lt;&gt;7,"",IF(AND(OR(AA126="",N(AA126)&gt;=$A126+16/24,N(AB126)&lt;=$A126+6/24),OR(AC126="",N(AC126)&lt;=$A126+6/24)),1,0)))</f>
        <v>0</v>
      </c>
      <c r="AH126" s="26" t="str">
        <f aca="false">IF($A126="","",IF(INDEX(Muster!$C$9:$BF$9,1,MOD($A126-Einstellungen!$C$6,Einstellungen!$C$7)+1)="","-",INDEX(Muster!$C$9:$BF$9,1,MOD($A126-Einstellungen!$C$6,Einstellungen!$C$7)+1)))</f>
        <v>F</v>
      </c>
      <c r="AI126" s="27" t="n">
        <f aca="false">IF($A126="","",IFERROR(VLOOKUP(AH126,Schichten!$A$5:$G$24,6,FALSE()),0))</f>
        <v>8</v>
      </c>
      <c r="AJ126" s="27" t="n">
        <f aca="false">IF($A126="","",IFERROR(VLOOKUP(AH126,Schichten!$A$5:$G$24,7,FALSE()),0))</f>
        <v>0</v>
      </c>
      <c r="AK126" s="28" t="n">
        <f aca="false">IF($A126="","",IF(N(AI126)=0,"",$A126+VLOOKUP(AH126,Schichten!$A$5:$G$24,3,FALSE())))</f>
        <v>46509.25</v>
      </c>
      <c r="AL126" s="28" t="n">
        <f aca="false">IF(AK126="","",$A126+VLOOKUP(AH126,Schichten!$A$5:$G$24,4,FALSE())+IF(VLOOKUP(AH126,Schichten!$A$5:$G$24,4,FALSE())&lt;=VLOOKUP(AH126,Schichten!$A$5:$G$24,3,FALSE()),1,0))</f>
        <v>46509.5833333333</v>
      </c>
      <c r="AM126" s="28" t="n">
        <f aca="false">IF($A126="","",IF(N(AI125)&gt;0,AL125,AM125))</f>
        <v>46507.25</v>
      </c>
      <c r="AN126" s="27" t="n">
        <f aca="false">IF(OR(AK126="",AM126=""),"",(AK126-AM126)*24)</f>
        <v>48</v>
      </c>
      <c r="AO126" s="21" t="n">
        <f aca="false">IF($A126="","",IF(N(AI126)&gt;0,N(AO125)+1,0))</f>
        <v>1</v>
      </c>
      <c r="AP126" s="21" t="n">
        <f aca="false">IF($A126="","",IF(N(AJ126)&gt;0,N(AP125)+1,0))</f>
        <v>0</v>
      </c>
      <c r="AQ126" s="21" t="n">
        <f aca="false">IF($A126="","",IF(WEEKDAY($A126,2)&lt;&gt;7,"",IF(AND(OR(AK126="",N(AK126)&gt;=$A126+16/24,N(AL126)&lt;=$A126+6/24),OR(AM126="",N(AM126)&lt;=$A126+6/24)),1,0)))</f>
        <v>0</v>
      </c>
      <c r="AR126" s="26" t="str">
        <f aca="false">IF($A126="","",IF(INDEX(Muster!$C$10:$BF$10,1,MOD($A126-Einstellungen!$C$6,Einstellungen!$C$7)+1)="","-",INDEX(Muster!$C$10:$BF$10,1,MOD($A126-Einstellungen!$C$6,Einstellungen!$C$7)+1)))</f>
        <v>-</v>
      </c>
      <c r="AS126" s="27" t="n">
        <f aca="false">IF($A126="","",IFERROR(VLOOKUP(AR126,Schichten!$A$5:$G$24,6,FALSE()),0))</f>
        <v>0</v>
      </c>
      <c r="AT126" s="27" t="n">
        <f aca="false">IF($A126="","",IFERROR(VLOOKUP(AR126,Schichten!$A$5:$G$24,7,FALSE()),0))</f>
        <v>0</v>
      </c>
      <c r="AU126" s="28" t="str">
        <f aca="false">IF($A126="","",IF(N(AS126)=0,"",$A126+VLOOKUP(AR126,Schichten!$A$5:$G$24,3,FALSE())))</f>
        <v/>
      </c>
      <c r="AV126" s="28" t="str">
        <f aca="false">IF(AU126="","",$A126+VLOOKUP(AR126,Schichten!$A$5:$G$24,4,FALSE())+IF(VLOOKUP(AR126,Schichten!$A$5:$G$24,4,FALSE())&lt;=VLOOKUP(AR126,Schichten!$A$5:$G$24,3,FALSE()),1,0))</f>
        <v/>
      </c>
      <c r="AW126" s="28" t="str">
        <f aca="false">IF($A126="","",IF(N(AS125)&gt;0,AV125,AW125))</f>
        <v/>
      </c>
      <c r="AX126" s="27" t="str">
        <f aca="false">IF(OR(AU126="",AW126=""),"",(AU126-AW126)*24)</f>
        <v/>
      </c>
      <c r="AY126" s="21" t="n">
        <f aca="false">IF($A126="","",IF(N(AS126)&gt;0,N(AY125)+1,0))</f>
        <v>0</v>
      </c>
      <c r="AZ126" s="21" t="n">
        <f aca="false">IF($A126="","",IF(N(AT126)&gt;0,N(AZ125)+1,0))</f>
        <v>0</v>
      </c>
      <c r="BA126" s="21" t="n">
        <f aca="false">IF($A126="","",IF(WEEKDAY($A126,2)&lt;&gt;7,"",IF(AND(OR(AU126="",N(AU126)&gt;=$A126+16/24,N(AV126)&lt;=$A126+6/24),OR(AW126="",N(AW126)&lt;=$A126+6/24)),1,0)))</f>
        <v>1</v>
      </c>
    </row>
    <row r="127" customFormat="false" ht="15" hidden="false" customHeight="false" outlineLevel="0" collapsed="false">
      <c r="A127" s="25" t="n">
        <f aca="false">IF(YEAR(DATE(Einstellungen!$C$4,1,1)+122)=Einstellungen!$C$4,DATE(Einstellungen!$C$4,1,1)+122,"")</f>
        <v>46510</v>
      </c>
      <c r="B127" s="26" t="str">
        <f aca="false">IF($A127="","",CHOOSE(WEEKDAY($A127,2),"Mo","Di","Mi","Do","Fr","Sa","So"))</f>
        <v>Mo</v>
      </c>
      <c r="C127" s="26" t="n">
        <f aca="false">IF($A127="","",MONTH($A127))</f>
        <v>5</v>
      </c>
      <c r="D127" s="26" t="str">
        <f aca="false">IF($A127="","",IF(INDEX(Muster!$C$6:$BF$6,1,MOD($A127-Einstellungen!$C$6,Einstellungen!$C$7)+1)="","-",INDEX(Muster!$C$6:$BF$6,1,MOD($A127-Einstellungen!$C$6,Einstellungen!$C$7)+1)))</f>
        <v>-</v>
      </c>
      <c r="E127" s="27" t="n">
        <f aca="false">IF($A127="","",IFERROR(VLOOKUP(D127,Schichten!$A$5:$G$24,6,FALSE()),0))</f>
        <v>0</v>
      </c>
      <c r="F127" s="27" t="n">
        <f aca="false">IF($A127="","",IFERROR(VLOOKUP(D127,Schichten!$A$5:$G$24,7,FALSE()),0))</f>
        <v>0</v>
      </c>
      <c r="G127" s="28" t="str">
        <f aca="false">IF($A127="","",IF(N(E127)=0,"",$A127+VLOOKUP(D127,Schichten!$A$5:$G$24,3,FALSE())))</f>
        <v/>
      </c>
      <c r="H127" s="28" t="str">
        <f aca="false">IF(G127="","",$A127+VLOOKUP(D127,Schichten!$A$5:$G$24,4,FALSE())+IF(VLOOKUP(D127,Schichten!$A$5:$G$24,4,FALSE())&lt;=VLOOKUP(D127,Schichten!$A$5:$G$24,3,FALSE()),1,0))</f>
        <v/>
      </c>
      <c r="I127" s="28" t="n">
        <f aca="false">IF($A127="","",IF(N(E126)&gt;0,H126,I126))</f>
        <v>46509.25</v>
      </c>
      <c r="J127" s="27" t="str">
        <f aca="false">IF(OR(G127="",I127=""),"",(G127-I127)*24)</f>
        <v/>
      </c>
      <c r="K127" s="21" t="n">
        <f aca="false">IF($A127="","",IF(N(E127)&gt;0,N(K126)+1,0))</f>
        <v>0</v>
      </c>
      <c r="L127" s="21" t="n">
        <f aca="false">IF($A127="","",IF(N(F127)&gt;0,N(L126)+1,0))</f>
        <v>0</v>
      </c>
      <c r="M127" s="21" t="str">
        <f aca="false">IF($A127="","",IF(WEEKDAY($A127,2)&lt;&gt;7,"",IF(AND(OR(G127="",N(G127)&gt;=$A127+16/24,N(H127)&lt;=$A127+6/24),OR(I127="",N(I127)&lt;=$A127+6/24)),1,0)))</f>
        <v/>
      </c>
      <c r="N127" s="26" t="str">
        <f aca="false">IF($A127="","",IF(INDEX(Muster!$C$7:$BF$7,1,MOD($A127-Einstellungen!$C$6,Einstellungen!$C$7)+1)="","-",INDEX(Muster!$C$7:$BF$7,1,MOD($A127-Einstellungen!$C$6,Einstellungen!$C$7)+1)))</f>
        <v>N</v>
      </c>
      <c r="O127" s="27" t="n">
        <f aca="false">IF($A127="","",IFERROR(VLOOKUP(N127,Schichten!$A$5:$G$24,6,FALSE()),0))</f>
        <v>8</v>
      </c>
      <c r="P127" s="27" t="n">
        <f aca="false">IF($A127="","",IFERROR(VLOOKUP(N127,Schichten!$A$5:$G$24,7,FALSE()),0))</f>
        <v>7</v>
      </c>
      <c r="Q127" s="28" t="n">
        <f aca="false">IF($A127="","",IF(N(O127)=0,"",$A127+VLOOKUP(N127,Schichten!$A$5:$G$24,3,FALSE())))</f>
        <v>46510.9166666667</v>
      </c>
      <c r="R127" s="28" t="n">
        <f aca="false">IF(Q127="","",$A127+VLOOKUP(N127,Schichten!$A$5:$G$24,4,FALSE())+IF(VLOOKUP(N127,Schichten!$A$5:$G$24,4,FALSE())&lt;=VLOOKUP(N127,Schichten!$A$5:$G$24,3,FALSE()),1,0))</f>
        <v>46511.25</v>
      </c>
      <c r="S127" s="28" t="n">
        <f aca="false">IF($A127="","",IF(N(O126)&gt;0,R126,S126))</f>
        <v>46510.25</v>
      </c>
      <c r="T127" s="27" t="n">
        <f aca="false">IF(OR(Q127="",S127=""),"",(Q127-S127)*24)</f>
        <v>16</v>
      </c>
      <c r="U127" s="21" t="n">
        <f aca="false">IF($A127="","",IF(N(O127)&gt;0,N(U126)+1,0))</f>
        <v>6</v>
      </c>
      <c r="V127" s="21" t="n">
        <f aca="false">IF($A127="","",IF(N(P127)&gt;0,N(V126)+1,0))</f>
        <v>2</v>
      </c>
      <c r="W127" s="21" t="str">
        <f aca="false">IF($A127="","",IF(WEEKDAY($A127,2)&lt;&gt;7,"",IF(AND(OR(Q127="",N(Q127)&gt;=$A127+16/24,N(R127)&lt;=$A127+6/24),OR(S127="",N(S127)&lt;=$A127+6/24)),1,0)))</f>
        <v/>
      </c>
      <c r="X127" s="26" t="str">
        <f aca="false">IF($A127="","",IF(INDEX(Muster!$C$8:$BF$8,1,MOD($A127-Einstellungen!$C$6,Einstellungen!$C$7)+1)="","-",INDEX(Muster!$C$8:$BF$8,1,MOD($A127-Einstellungen!$C$6,Einstellungen!$C$7)+1)))</f>
        <v>S</v>
      </c>
      <c r="Y127" s="27" t="n">
        <f aca="false">IF($A127="","",IFERROR(VLOOKUP(X127,Schichten!$A$5:$G$24,6,FALSE()),0))</f>
        <v>8</v>
      </c>
      <c r="Z127" s="27" t="n">
        <f aca="false">IF($A127="","",IFERROR(VLOOKUP(X127,Schichten!$A$5:$G$24,7,FALSE()),0))</f>
        <v>0</v>
      </c>
      <c r="AA127" s="28" t="n">
        <f aca="false">IF($A127="","",IF(N(Y127)=0,"",$A127+VLOOKUP(X127,Schichten!$A$5:$G$24,3,FALSE())))</f>
        <v>46510.5833333333</v>
      </c>
      <c r="AB127" s="28" t="n">
        <f aca="false">IF(AA127="","",$A127+VLOOKUP(X127,Schichten!$A$5:$G$24,4,FALSE())+IF(VLOOKUP(X127,Schichten!$A$5:$G$24,4,FALSE())&lt;=VLOOKUP(X127,Schichten!$A$5:$G$24,3,FALSE()),1,0))</f>
        <v>46510.9166666667</v>
      </c>
      <c r="AC127" s="28" t="n">
        <f aca="false">IF($A127="","",IF(N(Y126)&gt;0,AB126,AC126))</f>
        <v>46509.9166666667</v>
      </c>
      <c r="AD127" s="27" t="n">
        <f aca="false">IF(OR(AA127="",AC127=""),"",(AA127-AC127)*24)</f>
        <v>16</v>
      </c>
      <c r="AE127" s="21" t="n">
        <f aca="false">IF($A127="","",IF(N(Y127)&gt;0,N(AE126)+1,0))</f>
        <v>4</v>
      </c>
      <c r="AF127" s="21" t="n">
        <f aca="false">IF($A127="","",IF(N(Z127)&gt;0,N(AF126)+1,0))</f>
        <v>0</v>
      </c>
      <c r="AG127" s="21" t="str">
        <f aca="false">IF($A127="","",IF(WEEKDAY($A127,2)&lt;&gt;7,"",IF(AND(OR(AA127="",N(AA127)&gt;=$A127+16/24,N(AB127)&lt;=$A127+6/24),OR(AC127="",N(AC127)&lt;=$A127+6/24)),1,0)))</f>
        <v/>
      </c>
      <c r="AH127" s="26" t="str">
        <f aca="false">IF($A127="","",IF(INDEX(Muster!$C$9:$BF$9,1,MOD($A127-Einstellungen!$C$6,Einstellungen!$C$7)+1)="","-",INDEX(Muster!$C$9:$BF$9,1,MOD($A127-Einstellungen!$C$6,Einstellungen!$C$7)+1)))</f>
        <v>F</v>
      </c>
      <c r="AI127" s="27" t="n">
        <f aca="false">IF($A127="","",IFERROR(VLOOKUP(AH127,Schichten!$A$5:$G$24,6,FALSE()),0))</f>
        <v>8</v>
      </c>
      <c r="AJ127" s="27" t="n">
        <f aca="false">IF($A127="","",IFERROR(VLOOKUP(AH127,Schichten!$A$5:$G$24,7,FALSE()),0))</f>
        <v>0</v>
      </c>
      <c r="AK127" s="28" t="n">
        <f aca="false">IF($A127="","",IF(N(AI127)=0,"",$A127+VLOOKUP(AH127,Schichten!$A$5:$G$24,3,FALSE())))</f>
        <v>46510.25</v>
      </c>
      <c r="AL127" s="28" t="n">
        <f aca="false">IF(AK127="","",$A127+VLOOKUP(AH127,Schichten!$A$5:$G$24,4,FALSE())+IF(VLOOKUP(AH127,Schichten!$A$5:$G$24,4,FALSE())&lt;=VLOOKUP(AH127,Schichten!$A$5:$G$24,3,FALSE()),1,0))</f>
        <v>46510.5833333333</v>
      </c>
      <c r="AM127" s="28" t="n">
        <f aca="false">IF($A127="","",IF(N(AI126)&gt;0,AL126,AM126))</f>
        <v>46509.5833333333</v>
      </c>
      <c r="AN127" s="27" t="n">
        <f aca="false">IF(OR(AK127="",AM127=""),"",(AK127-AM127)*24)</f>
        <v>16</v>
      </c>
      <c r="AO127" s="21" t="n">
        <f aca="false">IF($A127="","",IF(N(AI127)&gt;0,N(AO126)+1,0))</f>
        <v>2</v>
      </c>
      <c r="AP127" s="21" t="n">
        <f aca="false">IF($A127="","",IF(N(AJ127)&gt;0,N(AP126)+1,0))</f>
        <v>0</v>
      </c>
      <c r="AQ127" s="21" t="str">
        <f aca="false">IF($A127="","",IF(WEEKDAY($A127,2)&lt;&gt;7,"",IF(AND(OR(AK127="",N(AK127)&gt;=$A127+16/24,N(AL127)&lt;=$A127+6/24),OR(AM127="",N(AM127)&lt;=$A127+6/24)),1,0)))</f>
        <v/>
      </c>
      <c r="AR127" s="26" t="str">
        <f aca="false">IF($A127="","",IF(INDEX(Muster!$C$10:$BF$10,1,MOD($A127-Einstellungen!$C$6,Einstellungen!$C$7)+1)="","-",INDEX(Muster!$C$10:$BF$10,1,MOD($A127-Einstellungen!$C$6,Einstellungen!$C$7)+1)))</f>
        <v>-</v>
      </c>
      <c r="AS127" s="27" t="n">
        <f aca="false">IF($A127="","",IFERROR(VLOOKUP(AR127,Schichten!$A$5:$G$24,6,FALSE()),0))</f>
        <v>0</v>
      </c>
      <c r="AT127" s="27" t="n">
        <f aca="false">IF($A127="","",IFERROR(VLOOKUP(AR127,Schichten!$A$5:$G$24,7,FALSE()),0))</f>
        <v>0</v>
      </c>
      <c r="AU127" s="28" t="str">
        <f aca="false">IF($A127="","",IF(N(AS127)=0,"",$A127+VLOOKUP(AR127,Schichten!$A$5:$G$24,3,FALSE())))</f>
        <v/>
      </c>
      <c r="AV127" s="28" t="str">
        <f aca="false">IF(AU127="","",$A127+VLOOKUP(AR127,Schichten!$A$5:$G$24,4,FALSE())+IF(VLOOKUP(AR127,Schichten!$A$5:$G$24,4,FALSE())&lt;=VLOOKUP(AR127,Schichten!$A$5:$G$24,3,FALSE()),1,0))</f>
        <v/>
      </c>
      <c r="AW127" s="28" t="str">
        <f aca="false">IF($A127="","",IF(N(AS126)&gt;0,AV126,AW126))</f>
        <v/>
      </c>
      <c r="AX127" s="27" t="str">
        <f aca="false">IF(OR(AU127="",AW127=""),"",(AU127-AW127)*24)</f>
        <v/>
      </c>
      <c r="AY127" s="21" t="n">
        <f aca="false">IF($A127="","",IF(N(AS127)&gt;0,N(AY126)+1,0))</f>
        <v>0</v>
      </c>
      <c r="AZ127" s="21" t="n">
        <f aca="false">IF($A127="","",IF(N(AT127)&gt;0,N(AZ126)+1,0))</f>
        <v>0</v>
      </c>
      <c r="BA127" s="21" t="str">
        <f aca="false">IF($A127="","",IF(WEEKDAY($A127,2)&lt;&gt;7,"",IF(AND(OR(AU127="",N(AU127)&gt;=$A127+16/24,N(AV127)&lt;=$A127+6/24),OR(AW127="",N(AW127)&lt;=$A127+6/24)),1,0)))</f>
        <v/>
      </c>
    </row>
    <row r="128" customFormat="false" ht="15" hidden="false" customHeight="false" outlineLevel="0" collapsed="false">
      <c r="A128" s="25" t="n">
        <f aca="false">IF(YEAR(DATE(Einstellungen!$C$4,1,1)+123)=Einstellungen!$C$4,DATE(Einstellungen!$C$4,1,1)+123,"")</f>
        <v>46511</v>
      </c>
      <c r="B128" s="26" t="str">
        <f aca="false">IF($A128="","",CHOOSE(WEEKDAY($A128,2),"Mo","Di","Mi","Do","Fr","Sa","So"))</f>
        <v>Di</v>
      </c>
      <c r="C128" s="26" t="n">
        <f aca="false">IF($A128="","",MONTH($A128))</f>
        <v>5</v>
      </c>
      <c r="D128" s="26" t="str">
        <f aca="false">IF($A128="","",IF(INDEX(Muster!$C$6:$BF$6,1,MOD($A128-Einstellungen!$C$6,Einstellungen!$C$7)+1)="","-",INDEX(Muster!$C$6:$BF$6,1,MOD($A128-Einstellungen!$C$6,Einstellungen!$C$7)+1)))</f>
        <v>F</v>
      </c>
      <c r="E128" s="27" t="n">
        <f aca="false">IF($A128="","",IFERROR(VLOOKUP(D128,Schichten!$A$5:$G$24,6,FALSE()),0))</f>
        <v>8</v>
      </c>
      <c r="F128" s="27" t="n">
        <f aca="false">IF($A128="","",IFERROR(VLOOKUP(D128,Schichten!$A$5:$G$24,7,FALSE()),0))</f>
        <v>0</v>
      </c>
      <c r="G128" s="28" t="n">
        <f aca="false">IF($A128="","",IF(N(E128)=0,"",$A128+VLOOKUP(D128,Schichten!$A$5:$G$24,3,FALSE())))</f>
        <v>46511.25</v>
      </c>
      <c r="H128" s="28" t="n">
        <f aca="false">IF(G128="","",$A128+VLOOKUP(D128,Schichten!$A$5:$G$24,4,FALSE())+IF(VLOOKUP(D128,Schichten!$A$5:$G$24,4,FALSE())&lt;=VLOOKUP(D128,Schichten!$A$5:$G$24,3,FALSE()),1,0))</f>
        <v>46511.5833333333</v>
      </c>
      <c r="I128" s="28" t="n">
        <f aca="false">IF($A128="","",IF(N(E127)&gt;0,H127,I127))</f>
        <v>46509.25</v>
      </c>
      <c r="J128" s="27" t="n">
        <f aca="false">IF(OR(G128="",I128=""),"",(G128-I128)*24)</f>
        <v>48</v>
      </c>
      <c r="K128" s="21" t="n">
        <f aca="false">IF($A128="","",IF(N(E128)&gt;0,N(K127)+1,0))</f>
        <v>1</v>
      </c>
      <c r="L128" s="21" t="n">
        <f aca="false">IF($A128="","",IF(N(F128)&gt;0,N(L127)+1,0))</f>
        <v>0</v>
      </c>
      <c r="M128" s="21" t="str">
        <f aca="false">IF($A128="","",IF(WEEKDAY($A128,2)&lt;&gt;7,"",IF(AND(OR(G128="",N(G128)&gt;=$A128+16/24,N(H128)&lt;=$A128+6/24),OR(I128="",N(I128)&lt;=$A128+6/24)),1,0)))</f>
        <v/>
      </c>
      <c r="N128" s="26" t="str">
        <f aca="false">IF($A128="","",IF(INDEX(Muster!$C$7:$BF$7,1,MOD($A128-Einstellungen!$C$6,Einstellungen!$C$7)+1)="","-",INDEX(Muster!$C$7:$BF$7,1,MOD($A128-Einstellungen!$C$6,Einstellungen!$C$7)+1)))</f>
        <v>-</v>
      </c>
      <c r="O128" s="27" t="n">
        <f aca="false">IF($A128="","",IFERROR(VLOOKUP(N128,Schichten!$A$5:$G$24,6,FALSE()),0))</f>
        <v>0</v>
      </c>
      <c r="P128" s="27" t="n">
        <f aca="false">IF($A128="","",IFERROR(VLOOKUP(N128,Schichten!$A$5:$G$24,7,FALSE()),0))</f>
        <v>0</v>
      </c>
      <c r="Q128" s="28" t="str">
        <f aca="false">IF($A128="","",IF(N(O128)=0,"",$A128+VLOOKUP(N128,Schichten!$A$5:$G$24,3,FALSE())))</f>
        <v/>
      </c>
      <c r="R128" s="28" t="str">
        <f aca="false">IF(Q128="","",$A128+VLOOKUP(N128,Schichten!$A$5:$G$24,4,FALSE())+IF(VLOOKUP(N128,Schichten!$A$5:$G$24,4,FALSE())&lt;=VLOOKUP(N128,Schichten!$A$5:$G$24,3,FALSE()),1,0))</f>
        <v/>
      </c>
      <c r="S128" s="28" t="n">
        <f aca="false">IF($A128="","",IF(N(O127)&gt;0,R127,S127))</f>
        <v>46511.25</v>
      </c>
      <c r="T128" s="27" t="str">
        <f aca="false">IF(OR(Q128="",S128=""),"",(Q128-S128)*24)</f>
        <v/>
      </c>
      <c r="U128" s="21" t="n">
        <f aca="false">IF($A128="","",IF(N(O128)&gt;0,N(U127)+1,0))</f>
        <v>0</v>
      </c>
      <c r="V128" s="21" t="n">
        <f aca="false">IF($A128="","",IF(N(P128)&gt;0,N(V127)+1,0))</f>
        <v>0</v>
      </c>
      <c r="W128" s="21" t="str">
        <f aca="false">IF($A128="","",IF(WEEKDAY($A128,2)&lt;&gt;7,"",IF(AND(OR(Q128="",N(Q128)&gt;=$A128+16/24,N(R128)&lt;=$A128+6/24),OR(S128="",N(S128)&lt;=$A128+6/24)),1,0)))</f>
        <v/>
      </c>
      <c r="X128" s="26" t="str">
        <f aca="false">IF($A128="","",IF(INDEX(Muster!$C$8:$BF$8,1,MOD($A128-Einstellungen!$C$6,Einstellungen!$C$7)+1)="","-",INDEX(Muster!$C$8:$BF$8,1,MOD($A128-Einstellungen!$C$6,Einstellungen!$C$7)+1)))</f>
        <v>N</v>
      </c>
      <c r="Y128" s="27" t="n">
        <f aca="false">IF($A128="","",IFERROR(VLOOKUP(X128,Schichten!$A$5:$G$24,6,FALSE()),0))</f>
        <v>8</v>
      </c>
      <c r="Z128" s="27" t="n">
        <f aca="false">IF($A128="","",IFERROR(VLOOKUP(X128,Schichten!$A$5:$G$24,7,FALSE()),0))</f>
        <v>7</v>
      </c>
      <c r="AA128" s="28" t="n">
        <f aca="false">IF($A128="","",IF(N(Y128)=0,"",$A128+VLOOKUP(X128,Schichten!$A$5:$G$24,3,FALSE())))</f>
        <v>46511.9166666667</v>
      </c>
      <c r="AB128" s="28" t="n">
        <f aca="false">IF(AA128="","",$A128+VLOOKUP(X128,Schichten!$A$5:$G$24,4,FALSE())+IF(VLOOKUP(X128,Schichten!$A$5:$G$24,4,FALSE())&lt;=VLOOKUP(X128,Schichten!$A$5:$G$24,3,FALSE()),1,0))</f>
        <v>46512.25</v>
      </c>
      <c r="AC128" s="28" t="n">
        <f aca="false">IF($A128="","",IF(N(Y127)&gt;0,AB127,AC127))</f>
        <v>46510.9166666667</v>
      </c>
      <c r="AD128" s="27" t="n">
        <f aca="false">IF(OR(AA128="",AC128=""),"",(AA128-AC128)*24)</f>
        <v>24</v>
      </c>
      <c r="AE128" s="21" t="n">
        <f aca="false">IF($A128="","",IF(N(Y128)&gt;0,N(AE127)+1,0))</f>
        <v>5</v>
      </c>
      <c r="AF128" s="21" t="n">
        <f aca="false">IF($A128="","",IF(N(Z128)&gt;0,N(AF127)+1,0))</f>
        <v>1</v>
      </c>
      <c r="AG128" s="21" t="str">
        <f aca="false">IF($A128="","",IF(WEEKDAY($A128,2)&lt;&gt;7,"",IF(AND(OR(AA128="",N(AA128)&gt;=$A128+16/24,N(AB128)&lt;=$A128+6/24),OR(AC128="",N(AC128)&lt;=$A128+6/24)),1,0)))</f>
        <v/>
      </c>
      <c r="AH128" s="26" t="str">
        <f aca="false">IF($A128="","",IF(INDEX(Muster!$C$9:$BF$9,1,MOD($A128-Einstellungen!$C$6,Einstellungen!$C$7)+1)="","-",INDEX(Muster!$C$9:$BF$9,1,MOD($A128-Einstellungen!$C$6,Einstellungen!$C$7)+1)))</f>
        <v>S</v>
      </c>
      <c r="AI128" s="27" t="n">
        <f aca="false">IF($A128="","",IFERROR(VLOOKUP(AH128,Schichten!$A$5:$G$24,6,FALSE()),0))</f>
        <v>8</v>
      </c>
      <c r="AJ128" s="27" t="n">
        <f aca="false">IF($A128="","",IFERROR(VLOOKUP(AH128,Schichten!$A$5:$G$24,7,FALSE()),0))</f>
        <v>0</v>
      </c>
      <c r="AK128" s="28" t="n">
        <f aca="false">IF($A128="","",IF(N(AI128)=0,"",$A128+VLOOKUP(AH128,Schichten!$A$5:$G$24,3,FALSE())))</f>
        <v>46511.5833333333</v>
      </c>
      <c r="AL128" s="28" t="n">
        <f aca="false">IF(AK128="","",$A128+VLOOKUP(AH128,Schichten!$A$5:$G$24,4,FALSE())+IF(VLOOKUP(AH128,Schichten!$A$5:$G$24,4,FALSE())&lt;=VLOOKUP(AH128,Schichten!$A$5:$G$24,3,FALSE()),1,0))</f>
        <v>46511.9166666667</v>
      </c>
      <c r="AM128" s="28" t="n">
        <f aca="false">IF($A128="","",IF(N(AI127)&gt;0,AL127,AM127))</f>
        <v>46510.5833333333</v>
      </c>
      <c r="AN128" s="27" t="n">
        <f aca="false">IF(OR(AK128="",AM128=""),"",(AK128-AM128)*24)</f>
        <v>24</v>
      </c>
      <c r="AO128" s="21" t="n">
        <f aca="false">IF($A128="","",IF(N(AI128)&gt;0,N(AO127)+1,0))</f>
        <v>3</v>
      </c>
      <c r="AP128" s="21" t="n">
        <f aca="false">IF($A128="","",IF(N(AJ128)&gt;0,N(AP127)+1,0))</f>
        <v>0</v>
      </c>
      <c r="AQ128" s="21" t="str">
        <f aca="false">IF($A128="","",IF(WEEKDAY($A128,2)&lt;&gt;7,"",IF(AND(OR(AK128="",N(AK128)&gt;=$A128+16/24,N(AL128)&lt;=$A128+6/24),OR(AM128="",N(AM128)&lt;=$A128+6/24)),1,0)))</f>
        <v/>
      </c>
      <c r="AR128" s="26" t="str">
        <f aca="false">IF($A128="","",IF(INDEX(Muster!$C$10:$BF$10,1,MOD($A128-Einstellungen!$C$6,Einstellungen!$C$7)+1)="","-",INDEX(Muster!$C$10:$BF$10,1,MOD($A128-Einstellungen!$C$6,Einstellungen!$C$7)+1)))</f>
        <v>-</v>
      </c>
      <c r="AS128" s="27" t="n">
        <f aca="false">IF($A128="","",IFERROR(VLOOKUP(AR128,Schichten!$A$5:$G$24,6,FALSE()),0))</f>
        <v>0</v>
      </c>
      <c r="AT128" s="27" t="n">
        <f aca="false">IF($A128="","",IFERROR(VLOOKUP(AR128,Schichten!$A$5:$G$24,7,FALSE()),0))</f>
        <v>0</v>
      </c>
      <c r="AU128" s="28" t="str">
        <f aca="false">IF($A128="","",IF(N(AS128)=0,"",$A128+VLOOKUP(AR128,Schichten!$A$5:$G$24,3,FALSE())))</f>
        <v/>
      </c>
      <c r="AV128" s="28" t="str">
        <f aca="false">IF(AU128="","",$A128+VLOOKUP(AR128,Schichten!$A$5:$G$24,4,FALSE())+IF(VLOOKUP(AR128,Schichten!$A$5:$G$24,4,FALSE())&lt;=VLOOKUP(AR128,Schichten!$A$5:$G$24,3,FALSE()),1,0))</f>
        <v/>
      </c>
      <c r="AW128" s="28" t="str">
        <f aca="false">IF($A128="","",IF(N(AS127)&gt;0,AV127,AW127))</f>
        <v/>
      </c>
      <c r="AX128" s="27" t="str">
        <f aca="false">IF(OR(AU128="",AW128=""),"",(AU128-AW128)*24)</f>
        <v/>
      </c>
      <c r="AY128" s="21" t="n">
        <f aca="false">IF($A128="","",IF(N(AS128)&gt;0,N(AY127)+1,0))</f>
        <v>0</v>
      </c>
      <c r="AZ128" s="21" t="n">
        <f aca="false">IF($A128="","",IF(N(AT128)&gt;0,N(AZ127)+1,0))</f>
        <v>0</v>
      </c>
      <c r="BA128" s="21" t="str">
        <f aca="false">IF($A128="","",IF(WEEKDAY($A128,2)&lt;&gt;7,"",IF(AND(OR(AU128="",N(AU128)&gt;=$A128+16/24,N(AV128)&lt;=$A128+6/24),OR(AW128="",N(AW128)&lt;=$A128+6/24)),1,0)))</f>
        <v/>
      </c>
    </row>
    <row r="129" customFormat="false" ht="15" hidden="false" customHeight="false" outlineLevel="0" collapsed="false">
      <c r="A129" s="25" t="n">
        <f aca="false">IF(YEAR(DATE(Einstellungen!$C$4,1,1)+124)=Einstellungen!$C$4,DATE(Einstellungen!$C$4,1,1)+124,"")</f>
        <v>46512</v>
      </c>
      <c r="B129" s="26" t="str">
        <f aca="false">IF($A129="","",CHOOSE(WEEKDAY($A129,2),"Mo","Di","Mi","Do","Fr","Sa","So"))</f>
        <v>Mi</v>
      </c>
      <c r="C129" s="26" t="n">
        <f aca="false">IF($A129="","",MONTH($A129))</f>
        <v>5</v>
      </c>
      <c r="D129" s="26" t="str">
        <f aca="false">IF($A129="","",IF(INDEX(Muster!$C$6:$BF$6,1,MOD($A129-Einstellungen!$C$6,Einstellungen!$C$7)+1)="","-",INDEX(Muster!$C$6:$BF$6,1,MOD($A129-Einstellungen!$C$6,Einstellungen!$C$7)+1)))</f>
        <v>F</v>
      </c>
      <c r="E129" s="27" t="n">
        <f aca="false">IF($A129="","",IFERROR(VLOOKUP(D129,Schichten!$A$5:$G$24,6,FALSE()),0))</f>
        <v>8</v>
      </c>
      <c r="F129" s="27" t="n">
        <f aca="false">IF($A129="","",IFERROR(VLOOKUP(D129,Schichten!$A$5:$G$24,7,FALSE()),0))</f>
        <v>0</v>
      </c>
      <c r="G129" s="28" t="n">
        <f aca="false">IF($A129="","",IF(N(E129)=0,"",$A129+VLOOKUP(D129,Schichten!$A$5:$G$24,3,FALSE())))</f>
        <v>46512.25</v>
      </c>
      <c r="H129" s="28" t="n">
        <f aca="false">IF(G129="","",$A129+VLOOKUP(D129,Schichten!$A$5:$G$24,4,FALSE())+IF(VLOOKUP(D129,Schichten!$A$5:$G$24,4,FALSE())&lt;=VLOOKUP(D129,Schichten!$A$5:$G$24,3,FALSE()),1,0))</f>
        <v>46512.5833333333</v>
      </c>
      <c r="I129" s="28" t="n">
        <f aca="false">IF($A129="","",IF(N(E128)&gt;0,H128,I128))</f>
        <v>46511.5833333333</v>
      </c>
      <c r="J129" s="27" t="n">
        <f aca="false">IF(OR(G129="",I129=""),"",(G129-I129)*24)</f>
        <v>16</v>
      </c>
      <c r="K129" s="21" t="n">
        <f aca="false">IF($A129="","",IF(N(E129)&gt;0,N(K128)+1,0))</f>
        <v>2</v>
      </c>
      <c r="L129" s="21" t="n">
        <f aca="false">IF($A129="","",IF(N(F129)&gt;0,N(L128)+1,0))</f>
        <v>0</v>
      </c>
      <c r="M129" s="21" t="str">
        <f aca="false">IF($A129="","",IF(WEEKDAY($A129,2)&lt;&gt;7,"",IF(AND(OR(G129="",N(G129)&gt;=$A129+16/24,N(H129)&lt;=$A129+6/24),OR(I129="",N(I129)&lt;=$A129+6/24)),1,0)))</f>
        <v/>
      </c>
      <c r="N129" s="26" t="str">
        <f aca="false">IF($A129="","",IF(INDEX(Muster!$C$7:$BF$7,1,MOD($A129-Einstellungen!$C$6,Einstellungen!$C$7)+1)="","-",INDEX(Muster!$C$7:$BF$7,1,MOD($A129-Einstellungen!$C$6,Einstellungen!$C$7)+1)))</f>
        <v>-</v>
      </c>
      <c r="O129" s="27" t="n">
        <f aca="false">IF($A129="","",IFERROR(VLOOKUP(N129,Schichten!$A$5:$G$24,6,FALSE()),0))</f>
        <v>0</v>
      </c>
      <c r="P129" s="27" t="n">
        <f aca="false">IF($A129="","",IFERROR(VLOOKUP(N129,Schichten!$A$5:$G$24,7,FALSE()),0))</f>
        <v>0</v>
      </c>
      <c r="Q129" s="28" t="str">
        <f aca="false">IF($A129="","",IF(N(O129)=0,"",$A129+VLOOKUP(N129,Schichten!$A$5:$G$24,3,FALSE())))</f>
        <v/>
      </c>
      <c r="R129" s="28" t="str">
        <f aca="false">IF(Q129="","",$A129+VLOOKUP(N129,Schichten!$A$5:$G$24,4,FALSE())+IF(VLOOKUP(N129,Schichten!$A$5:$G$24,4,FALSE())&lt;=VLOOKUP(N129,Schichten!$A$5:$G$24,3,FALSE()),1,0))</f>
        <v/>
      </c>
      <c r="S129" s="28" t="n">
        <f aca="false">IF($A129="","",IF(N(O128)&gt;0,R128,S128))</f>
        <v>46511.25</v>
      </c>
      <c r="T129" s="27" t="str">
        <f aca="false">IF(OR(Q129="",S129=""),"",(Q129-S129)*24)</f>
        <v/>
      </c>
      <c r="U129" s="21" t="n">
        <f aca="false">IF($A129="","",IF(N(O129)&gt;0,N(U128)+1,0))</f>
        <v>0</v>
      </c>
      <c r="V129" s="21" t="n">
        <f aca="false">IF($A129="","",IF(N(P129)&gt;0,N(V128)+1,0))</f>
        <v>0</v>
      </c>
      <c r="W129" s="21" t="str">
        <f aca="false">IF($A129="","",IF(WEEKDAY($A129,2)&lt;&gt;7,"",IF(AND(OR(Q129="",N(Q129)&gt;=$A129+16/24,N(R129)&lt;=$A129+6/24),OR(S129="",N(S129)&lt;=$A129+6/24)),1,0)))</f>
        <v/>
      </c>
      <c r="X129" s="26" t="str">
        <f aca="false">IF($A129="","",IF(INDEX(Muster!$C$8:$BF$8,1,MOD($A129-Einstellungen!$C$6,Einstellungen!$C$7)+1)="","-",INDEX(Muster!$C$8:$BF$8,1,MOD($A129-Einstellungen!$C$6,Einstellungen!$C$7)+1)))</f>
        <v>N</v>
      </c>
      <c r="Y129" s="27" t="n">
        <f aca="false">IF($A129="","",IFERROR(VLOOKUP(X129,Schichten!$A$5:$G$24,6,FALSE()),0))</f>
        <v>8</v>
      </c>
      <c r="Z129" s="27" t="n">
        <f aca="false">IF($A129="","",IFERROR(VLOOKUP(X129,Schichten!$A$5:$G$24,7,FALSE()),0))</f>
        <v>7</v>
      </c>
      <c r="AA129" s="28" t="n">
        <f aca="false">IF($A129="","",IF(N(Y129)=0,"",$A129+VLOOKUP(X129,Schichten!$A$5:$G$24,3,FALSE())))</f>
        <v>46512.9166666667</v>
      </c>
      <c r="AB129" s="28" t="n">
        <f aca="false">IF(AA129="","",$A129+VLOOKUP(X129,Schichten!$A$5:$G$24,4,FALSE())+IF(VLOOKUP(X129,Schichten!$A$5:$G$24,4,FALSE())&lt;=VLOOKUP(X129,Schichten!$A$5:$G$24,3,FALSE()),1,0))</f>
        <v>46513.25</v>
      </c>
      <c r="AC129" s="28" t="n">
        <f aca="false">IF($A129="","",IF(N(Y128)&gt;0,AB128,AC128))</f>
        <v>46512.25</v>
      </c>
      <c r="AD129" s="27" t="n">
        <f aca="false">IF(OR(AA129="",AC129=""),"",(AA129-AC129)*24)</f>
        <v>16</v>
      </c>
      <c r="AE129" s="21" t="n">
        <f aca="false">IF($A129="","",IF(N(Y129)&gt;0,N(AE128)+1,0))</f>
        <v>6</v>
      </c>
      <c r="AF129" s="21" t="n">
        <f aca="false">IF($A129="","",IF(N(Z129)&gt;0,N(AF128)+1,0))</f>
        <v>2</v>
      </c>
      <c r="AG129" s="21" t="str">
        <f aca="false">IF($A129="","",IF(WEEKDAY($A129,2)&lt;&gt;7,"",IF(AND(OR(AA129="",N(AA129)&gt;=$A129+16/24,N(AB129)&lt;=$A129+6/24),OR(AC129="",N(AC129)&lt;=$A129+6/24)),1,0)))</f>
        <v/>
      </c>
      <c r="AH129" s="26" t="str">
        <f aca="false">IF($A129="","",IF(INDEX(Muster!$C$9:$BF$9,1,MOD($A129-Einstellungen!$C$6,Einstellungen!$C$7)+1)="","-",INDEX(Muster!$C$9:$BF$9,1,MOD($A129-Einstellungen!$C$6,Einstellungen!$C$7)+1)))</f>
        <v>S</v>
      </c>
      <c r="AI129" s="27" t="n">
        <f aca="false">IF($A129="","",IFERROR(VLOOKUP(AH129,Schichten!$A$5:$G$24,6,FALSE()),0))</f>
        <v>8</v>
      </c>
      <c r="AJ129" s="27" t="n">
        <f aca="false">IF($A129="","",IFERROR(VLOOKUP(AH129,Schichten!$A$5:$G$24,7,FALSE()),0))</f>
        <v>0</v>
      </c>
      <c r="AK129" s="28" t="n">
        <f aca="false">IF($A129="","",IF(N(AI129)=0,"",$A129+VLOOKUP(AH129,Schichten!$A$5:$G$24,3,FALSE())))</f>
        <v>46512.5833333333</v>
      </c>
      <c r="AL129" s="28" t="n">
        <f aca="false">IF(AK129="","",$A129+VLOOKUP(AH129,Schichten!$A$5:$G$24,4,FALSE())+IF(VLOOKUP(AH129,Schichten!$A$5:$G$24,4,FALSE())&lt;=VLOOKUP(AH129,Schichten!$A$5:$G$24,3,FALSE()),1,0))</f>
        <v>46512.9166666667</v>
      </c>
      <c r="AM129" s="28" t="n">
        <f aca="false">IF($A129="","",IF(N(AI128)&gt;0,AL128,AM128))</f>
        <v>46511.9166666667</v>
      </c>
      <c r="AN129" s="27" t="n">
        <f aca="false">IF(OR(AK129="",AM129=""),"",(AK129-AM129)*24)</f>
        <v>16</v>
      </c>
      <c r="AO129" s="21" t="n">
        <f aca="false">IF($A129="","",IF(N(AI129)&gt;0,N(AO128)+1,0))</f>
        <v>4</v>
      </c>
      <c r="AP129" s="21" t="n">
        <f aca="false">IF($A129="","",IF(N(AJ129)&gt;0,N(AP128)+1,0))</f>
        <v>0</v>
      </c>
      <c r="AQ129" s="21" t="str">
        <f aca="false">IF($A129="","",IF(WEEKDAY($A129,2)&lt;&gt;7,"",IF(AND(OR(AK129="",N(AK129)&gt;=$A129+16/24,N(AL129)&lt;=$A129+6/24),OR(AM129="",N(AM129)&lt;=$A129+6/24)),1,0)))</f>
        <v/>
      </c>
      <c r="AR129" s="26" t="str">
        <f aca="false">IF($A129="","",IF(INDEX(Muster!$C$10:$BF$10,1,MOD($A129-Einstellungen!$C$6,Einstellungen!$C$7)+1)="","-",INDEX(Muster!$C$10:$BF$10,1,MOD($A129-Einstellungen!$C$6,Einstellungen!$C$7)+1)))</f>
        <v>-</v>
      </c>
      <c r="AS129" s="27" t="n">
        <f aca="false">IF($A129="","",IFERROR(VLOOKUP(AR129,Schichten!$A$5:$G$24,6,FALSE()),0))</f>
        <v>0</v>
      </c>
      <c r="AT129" s="27" t="n">
        <f aca="false">IF($A129="","",IFERROR(VLOOKUP(AR129,Schichten!$A$5:$G$24,7,FALSE()),0))</f>
        <v>0</v>
      </c>
      <c r="AU129" s="28" t="str">
        <f aca="false">IF($A129="","",IF(N(AS129)=0,"",$A129+VLOOKUP(AR129,Schichten!$A$5:$G$24,3,FALSE())))</f>
        <v/>
      </c>
      <c r="AV129" s="28" t="str">
        <f aca="false">IF(AU129="","",$A129+VLOOKUP(AR129,Schichten!$A$5:$G$24,4,FALSE())+IF(VLOOKUP(AR129,Schichten!$A$5:$G$24,4,FALSE())&lt;=VLOOKUP(AR129,Schichten!$A$5:$G$24,3,FALSE()),1,0))</f>
        <v/>
      </c>
      <c r="AW129" s="28" t="str">
        <f aca="false">IF($A129="","",IF(N(AS128)&gt;0,AV128,AW128))</f>
        <v/>
      </c>
      <c r="AX129" s="27" t="str">
        <f aca="false">IF(OR(AU129="",AW129=""),"",(AU129-AW129)*24)</f>
        <v/>
      </c>
      <c r="AY129" s="21" t="n">
        <f aca="false">IF($A129="","",IF(N(AS129)&gt;0,N(AY128)+1,0))</f>
        <v>0</v>
      </c>
      <c r="AZ129" s="21" t="n">
        <f aca="false">IF($A129="","",IF(N(AT129)&gt;0,N(AZ128)+1,0))</f>
        <v>0</v>
      </c>
      <c r="BA129" s="21" t="str">
        <f aca="false">IF($A129="","",IF(WEEKDAY($A129,2)&lt;&gt;7,"",IF(AND(OR(AU129="",N(AU129)&gt;=$A129+16/24,N(AV129)&lt;=$A129+6/24),OR(AW129="",N(AW129)&lt;=$A129+6/24)),1,0)))</f>
        <v/>
      </c>
    </row>
    <row r="130" customFormat="false" ht="15" hidden="false" customHeight="false" outlineLevel="0" collapsed="false">
      <c r="A130" s="25" t="n">
        <f aca="false">IF(YEAR(DATE(Einstellungen!$C$4,1,1)+125)=Einstellungen!$C$4,DATE(Einstellungen!$C$4,1,1)+125,"")</f>
        <v>46513</v>
      </c>
      <c r="B130" s="26" t="str">
        <f aca="false">IF($A130="","",CHOOSE(WEEKDAY($A130,2),"Mo","Di","Mi","Do","Fr","Sa","So"))</f>
        <v>Do</v>
      </c>
      <c r="C130" s="26" t="n">
        <f aca="false">IF($A130="","",MONTH($A130))</f>
        <v>5</v>
      </c>
      <c r="D130" s="26" t="str">
        <f aca="false">IF($A130="","",IF(INDEX(Muster!$C$6:$BF$6,1,MOD($A130-Einstellungen!$C$6,Einstellungen!$C$7)+1)="","-",INDEX(Muster!$C$6:$BF$6,1,MOD($A130-Einstellungen!$C$6,Einstellungen!$C$7)+1)))</f>
        <v>S</v>
      </c>
      <c r="E130" s="27" t="n">
        <f aca="false">IF($A130="","",IFERROR(VLOOKUP(D130,Schichten!$A$5:$G$24,6,FALSE()),0))</f>
        <v>8</v>
      </c>
      <c r="F130" s="27" t="n">
        <f aca="false">IF($A130="","",IFERROR(VLOOKUP(D130,Schichten!$A$5:$G$24,7,FALSE()),0))</f>
        <v>0</v>
      </c>
      <c r="G130" s="28" t="n">
        <f aca="false">IF($A130="","",IF(N(E130)=0,"",$A130+VLOOKUP(D130,Schichten!$A$5:$G$24,3,FALSE())))</f>
        <v>46513.5833333333</v>
      </c>
      <c r="H130" s="28" t="n">
        <f aca="false">IF(G130="","",$A130+VLOOKUP(D130,Schichten!$A$5:$G$24,4,FALSE())+IF(VLOOKUP(D130,Schichten!$A$5:$G$24,4,FALSE())&lt;=VLOOKUP(D130,Schichten!$A$5:$G$24,3,FALSE()),1,0))</f>
        <v>46513.9166666667</v>
      </c>
      <c r="I130" s="28" t="n">
        <f aca="false">IF($A130="","",IF(N(E129)&gt;0,H129,I129))</f>
        <v>46512.5833333333</v>
      </c>
      <c r="J130" s="27" t="n">
        <f aca="false">IF(OR(G130="",I130=""),"",(G130-I130)*24)</f>
        <v>24</v>
      </c>
      <c r="K130" s="21" t="n">
        <f aca="false">IF($A130="","",IF(N(E130)&gt;0,N(K129)+1,0))</f>
        <v>3</v>
      </c>
      <c r="L130" s="21" t="n">
        <f aca="false">IF($A130="","",IF(N(F130)&gt;0,N(L129)+1,0))</f>
        <v>0</v>
      </c>
      <c r="M130" s="21" t="str">
        <f aca="false">IF($A130="","",IF(WEEKDAY($A130,2)&lt;&gt;7,"",IF(AND(OR(G130="",N(G130)&gt;=$A130+16/24,N(H130)&lt;=$A130+6/24),OR(I130="",N(I130)&lt;=$A130+6/24)),1,0)))</f>
        <v/>
      </c>
      <c r="N130" s="26" t="str">
        <f aca="false">IF($A130="","",IF(INDEX(Muster!$C$7:$BF$7,1,MOD($A130-Einstellungen!$C$6,Einstellungen!$C$7)+1)="","-",INDEX(Muster!$C$7:$BF$7,1,MOD($A130-Einstellungen!$C$6,Einstellungen!$C$7)+1)))</f>
        <v>F</v>
      </c>
      <c r="O130" s="27" t="n">
        <f aca="false">IF($A130="","",IFERROR(VLOOKUP(N130,Schichten!$A$5:$G$24,6,FALSE()),0))</f>
        <v>8</v>
      </c>
      <c r="P130" s="27" t="n">
        <f aca="false">IF($A130="","",IFERROR(VLOOKUP(N130,Schichten!$A$5:$G$24,7,FALSE()),0))</f>
        <v>0</v>
      </c>
      <c r="Q130" s="28" t="n">
        <f aca="false">IF($A130="","",IF(N(O130)=0,"",$A130+VLOOKUP(N130,Schichten!$A$5:$G$24,3,FALSE())))</f>
        <v>46513.25</v>
      </c>
      <c r="R130" s="28" t="n">
        <f aca="false">IF(Q130="","",$A130+VLOOKUP(N130,Schichten!$A$5:$G$24,4,FALSE())+IF(VLOOKUP(N130,Schichten!$A$5:$G$24,4,FALSE())&lt;=VLOOKUP(N130,Schichten!$A$5:$G$24,3,FALSE()),1,0))</f>
        <v>46513.5833333333</v>
      </c>
      <c r="S130" s="28" t="n">
        <f aca="false">IF($A130="","",IF(N(O129)&gt;0,R129,S129))</f>
        <v>46511.25</v>
      </c>
      <c r="T130" s="27" t="n">
        <f aca="false">IF(OR(Q130="",S130=""),"",(Q130-S130)*24)</f>
        <v>48</v>
      </c>
      <c r="U130" s="21" t="n">
        <f aca="false">IF($A130="","",IF(N(O130)&gt;0,N(U129)+1,0))</f>
        <v>1</v>
      </c>
      <c r="V130" s="21" t="n">
        <f aca="false">IF($A130="","",IF(N(P130)&gt;0,N(V129)+1,0))</f>
        <v>0</v>
      </c>
      <c r="W130" s="21" t="str">
        <f aca="false">IF($A130="","",IF(WEEKDAY($A130,2)&lt;&gt;7,"",IF(AND(OR(Q130="",N(Q130)&gt;=$A130+16/24,N(R130)&lt;=$A130+6/24),OR(S130="",N(S130)&lt;=$A130+6/24)),1,0)))</f>
        <v/>
      </c>
      <c r="X130" s="26" t="str">
        <f aca="false">IF($A130="","",IF(INDEX(Muster!$C$8:$BF$8,1,MOD($A130-Einstellungen!$C$6,Einstellungen!$C$7)+1)="","-",INDEX(Muster!$C$8:$BF$8,1,MOD($A130-Einstellungen!$C$6,Einstellungen!$C$7)+1)))</f>
        <v>-</v>
      </c>
      <c r="Y130" s="27" t="n">
        <f aca="false">IF($A130="","",IFERROR(VLOOKUP(X130,Schichten!$A$5:$G$24,6,FALSE()),0))</f>
        <v>0</v>
      </c>
      <c r="Z130" s="27" t="n">
        <f aca="false">IF($A130="","",IFERROR(VLOOKUP(X130,Schichten!$A$5:$G$24,7,FALSE()),0))</f>
        <v>0</v>
      </c>
      <c r="AA130" s="28" t="str">
        <f aca="false">IF($A130="","",IF(N(Y130)=0,"",$A130+VLOOKUP(X130,Schichten!$A$5:$G$24,3,FALSE())))</f>
        <v/>
      </c>
      <c r="AB130" s="28" t="str">
        <f aca="false">IF(AA130="","",$A130+VLOOKUP(X130,Schichten!$A$5:$G$24,4,FALSE())+IF(VLOOKUP(X130,Schichten!$A$5:$G$24,4,FALSE())&lt;=VLOOKUP(X130,Schichten!$A$5:$G$24,3,FALSE()),1,0))</f>
        <v/>
      </c>
      <c r="AC130" s="28" t="n">
        <f aca="false">IF($A130="","",IF(N(Y129)&gt;0,AB129,AC129))</f>
        <v>46513.25</v>
      </c>
      <c r="AD130" s="27" t="str">
        <f aca="false">IF(OR(AA130="",AC130=""),"",(AA130-AC130)*24)</f>
        <v/>
      </c>
      <c r="AE130" s="21" t="n">
        <f aca="false">IF($A130="","",IF(N(Y130)&gt;0,N(AE129)+1,0))</f>
        <v>0</v>
      </c>
      <c r="AF130" s="21" t="n">
        <f aca="false">IF($A130="","",IF(N(Z130)&gt;0,N(AF129)+1,0))</f>
        <v>0</v>
      </c>
      <c r="AG130" s="21" t="str">
        <f aca="false">IF($A130="","",IF(WEEKDAY($A130,2)&lt;&gt;7,"",IF(AND(OR(AA130="",N(AA130)&gt;=$A130+16/24,N(AB130)&lt;=$A130+6/24),OR(AC130="",N(AC130)&lt;=$A130+6/24)),1,0)))</f>
        <v/>
      </c>
      <c r="AH130" s="26" t="str">
        <f aca="false">IF($A130="","",IF(INDEX(Muster!$C$9:$BF$9,1,MOD($A130-Einstellungen!$C$6,Einstellungen!$C$7)+1)="","-",INDEX(Muster!$C$9:$BF$9,1,MOD($A130-Einstellungen!$C$6,Einstellungen!$C$7)+1)))</f>
        <v>N</v>
      </c>
      <c r="AI130" s="27" t="n">
        <f aca="false">IF($A130="","",IFERROR(VLOOKUP(AH130,Schichten!$A$5:$G$24,6,FALSE()),0))</f>
        <v>8</v>
      </c>
      <c r="AJ130" s="27" t="n">
        <f aca="false">IF($A130="","",IFERROR(VLOOKUP(AH130,Schichten!$A$5:$G$24,7,FALSE()),0))</f>
        <v>7</v>
      </c>
      <c r="AK130" s="28" t="n">
        <f aca="false">IF($A130="","",IF(N(AI130)=0,"",$A130+VLOOKUP(AH130,Schichten!$A$5:$G$24,3,FALSE())))</f>
        <v>46513.9166666667</v>
      </c>
      <c r="AL130" s="28" t="n">
        <f aca="false">IF(AK130="","",$A130+VLOOKUP(AH130,Schichten!$A$5:$G$24,4,FALSE())+IF(VLOOKUP(AH130,Schichten!$A$5:$G$24,4,FALSE())&lt;=VLOOKUP(AH130,Schichten!$A$5:$G$24,3,FALSE()),1,0))</f>
        <v>46514.25</v>
      </c>
      <c r="AM130" s="28" t="n">
        <f aca="false">IF($A130="","",IF(N(AI129)&gt;0,AL129,AM129))</f>
        <v>46512.9166666667</v>
      </c>
      <c r="AN130" s="27" t="n">
        <f aca="false">IF(OR(AK130="",AM130=""),"",(AK130-AM130)*24)</f>
        <v>24</v>
      </c>
      <c r="AO130" s="21" t="n">
        <f aca="false">IF($A130="","",IF(N(AI130)&gt;0,N(AO129)+1,0))</f>
        <v>5</v>
      </c>
      <c r="AP130" s="21" t="n">
        <f aca="false">IF($A130="","",IF(N(AJ130)&gt;0,N(AP129)+1,0))</f>
        <v>1</v>
      </c>
      <c r="AQ130" s="21" t="str">
        <f aca="false">IF($A130="","",IF(WEEKDAY($A130,2)&lt;&gt;7,"",IF(AND(OR(AK130="",N(AK130)&gt;=$A130+16/24,N(AL130)&lt;=$A130+6/24),OR(AM130="",N(AM130)&lt;=$A130+6/24)),1,0)))</f>
        <v/>
      </c>
      <c r="AR130" s="26" t="str">
        <f aca="false">IF($A130="","",IF(INDEX(Muster!$C$10:$BF$10,1,MOD($A130-Einstellungen!$C$6,Einstellungen!$C$7)+1)="","-",INDEX(Muster!$C$10:$BF$10,1,MOD($A130-Einstellungen!$C$6,Einstellungen!$C$7)+1)))</f>
        <v>-</v>
      </c>
      <c r="AS130" s="27" t="n">
        <f aca="false">IF($A130="","",IFERROR(VLOOKUP(AR130,Schichten!$A$5:$G$24,6,FALSE()),0))</f>
        <v>0</v>
      </c>
      <c r="AT130" s="27" t="n">
        <f aca="false">IF($A130="","",IFERROR(VLOOKUP(AR130,Schichten!$A$5:$G$24,7,FALSE()),0))</f>
        <v>0</v>
      </c>
      <c r="AU130" s="28" t="str">
        <f aca="false">IF($A130="","",IF(N(AS130)=0,"",$A130+VLOOKUP(AR130,Schichten!$A$5:$G$24,3,FALSE())))</f>
        <v/>
      </c>
      <c r="AV130" s="28" t="str">
        <f aca="false">IF(AU130="","",$A130+VLOOKUP(AR130,Schichten!$A$5:$G$24,4,FALSE())+IF(VLOOKUP(AR130,Schichten!$A$5:$G$24,4,FALSE())&lt;=VLOOKUP(AR130,Schichten!$A$5:$G$24,3,FALSE()),1,0))</f>
        <v/>
      </c>
      <c r="AW130" s="28" t="str">
        <f aca="false">IF($A130="","",IF(N(AS129)&gt;0,AV129,AW129))</f>
        <v/>
      </c>
      <c r="AX130" s="27" t="str">
        <f aca="false">IF(OR(AU130="",AW130=""),"",(AU130-AW130)*24)</f>
        <v/>
      </c>
      <c r="AY130" s="21" t="n">
        <f aca="false">IF($A130="","",IF(N(AS130)&gt;0,N(AY129)+1,0))</f>
        <v>0</v>
      </c>
      <c r="AZ130" s="21" t="n">
        <f aca="false">IF($A130="","",IF(N(AT130)&gt;0,N(AZ129)+1,0))</f>
        <v>0</v>
      </c>
      <c r="BA130" s="21" t="str">
        <f aca="false">IF($A130="","",IF(WEEKDAY($A130,2)&lt;&gt;7,"",IF(AND(OR(AU130="",N(AU130)&gt;=$A130+16/24,N(AV130)&lt;=$A130+6/24),OR(AW130="",N(AW130)&lt;=$A130+6/24)),1,0)))</f>
        <v/>
      </c>
    </row>
    <row r="131" customFormat="false" ht="15" hidden="false" customHeight="false" outlineLevel="0" collapsed="false">
      <c r="A131" s="25" t="n">
        <f aca="false">IF(YEAR(DATE(Einstellungen!$C$4,1,1)+126)=Einstellungen!$C$4,DATE(Einstellungen!$C$4,1,1)+126,"")</f>
        <v>46514</v>
      </c>
      <c r="B131" s="26" t="str">
        <f aca="false">IF($A131="","",CHOOSE(WEEKDAY($A131,2),"Mo","Di","Mi","Do","Fr","Sa","So"))</f>
        <v>Fr</v>
      </c>
      <c r="C131" s="26" t="n">
        <f aca="false">IF($A131="","",MONTH($A131))</f>
        <v>5</v>
      </c>
      <c r="D131" s="26" t="str">
        <f aca="false">IF($A131="","",IF(INDEX(Muster!$C$6:$BF$6,1,MOD($A131-Einstellungen!$C$6,Einstellungen!$C$7)+1)="","-",INDEX(Muster!$C$6:$BF$6,1,MOD($A131-Einstellungen!$C$6,Einstellungen!$C$7)+1)))</f>
        <v>S</v>
      </c>
      <c r="E131" s="27" t="n">
        <f aca="false">IF($A131="","",IFERROR(VLOOKUP(D131,Schichten!$A$5:$G$24,6,FALSE()),0))</f>
        <v>8</v>
      </c>
      <c r="F131" s="27" t="n">
        <f aca="false">IF($A131="","",IFERROR(VLOOKUP(D131,Schichten!$A$5:$G$24,7,FALSE()),0))</f>
        <v>0</v>
      </c>
      <c r="G131" s="28" t="n">
        <f aca="false">IF($A131="","",IF(N(E131)=0,"",$A131+VLOOKUP(D131,Schichten!$A$5:$G$24,3,FALSE())))</f>
        <v>46514.5833333333</v>
      </c>
      <c r="H131" s="28" t="n">
        <f aca="false">IF(G131="","",$A131+VLOOKUP(D131,Schichten!$A$5:$G$24,4,FALSE())+IF(VLOOKUP(D131,Schichten!$A$5:$G$24,4,FALSE())&lt;=VLOOKUP(D131,Schichten!$A$5:$G$24,3,FALSE()),1,0))</f>
        <v>46514.9166666667</v>
      </c>
      <c r="I131" s="28" t="n">
        <f aca="false">IF($A131="","",IF(N(E130)&gt;0,H130,I130))</f>
        <v>46513.9166666667</v>
      </c>
      <c r="J131" s="27" t="n">
        <f aca="false">IF(OR(G131="",I131=""),"",(G131-I131)*24)</f>
        <v>16</v>
      </c>
      <c r="K131" s="21" t="n">
        <f aca="false">IF($A131="","",IF(N(E131)&gt;0,N(K130)+1,0))</f>
        <v>4</v>
      </c>
      <c r="L131" s="21" t="n">
        <f aca="false">IF($A131="","",IF(N(F131)&gt;0,N(L130)+1,0))</f>
        <v>0</v>
      </c>
      <c r="M131" s="21" t="str">
        <f aca="false">IF($A131="","",IF(WEEKDAY($A131,2)&lt;&gt;7,"",IF(AND(OR(G131="",N(G131)&gt;=$A131+16/24,N(H131)&lt;=$A131+6/24),OR(I131="",N(I131)&lt;=$A131+6/24)),1,0)))</f>
        <v/>
      </c>
      <c r="N131" s="26" t="str">
        <f aca="false">IF($A131="","",IF(INDEX(Muster!$C$7:$BF$7,1,MOD($A131-Einstellungen!$C$6,Einstellungen!$C$7)+1)="","-",INDEX(Muster!$C$7:$BF$7,1,MOD($A131-Einstellungen!$C$6,Einstellungen!$C$7)+1)))</f>
        <v>F</v>
      </c>
      <c r="O131" s="27" t="n">
        <f aca="false">IF($A131="","",IFERROR(VLOOKUP(N131,Schichten!$A$5:$G$24,6,FALSE()),0))</f>
        <v>8</v>
      </c>
      <c r="P131" s="27" t="n">
        <f aca="false">IF($A131="","",IFERROR(VLOOKUP(N131,Schichten!$A$5:$G$24,7,FALSE()),0))</f>
        <v>0</v>
      </c>
      <c r="Q131" s="28" t="n">
        <f aca="false">IF($A131="","",IF(N(O131)=0,"",$A131+VLOOKUP(N131,Schichten!$A$5:$G$24,3,FALSE())))</f>
        <v>46514.25</v>
      </c>
      <c r="R131" s="28" t="n">
        <f aca="false">IF(Q131="","",$A131+VLOOKUP(N131,Schichten!$A$5:$G$24,4,FALSE())+IF(VLOOKUP(N131,Schichten!$A$5:$G$24,4,FALSE())&lt;=VLOOKUP(N131,Schichten!$A$5:$G$24,3,FALSE()),1,0))</f>
        <v>46514.5833333333</v>
      </c>
      <c r="S131" s="28" t="n">
        <f aca="false">IF($A131="","",IF(N(O130)&gt;0,R130,S130))</f>
        <v>46513.5833333333</v>
      </c>
      <c r="T131" s="27" t="n">
        <f aca="false">IF(OR(Q131="",S131=""),"",(Q131-S131)*24)</f>
        <v>16</v>
      </c>
      <c r="U131" s="21" t="n">
        <f aca="false">IF($A131="","",IF(N(O131)&gt;0,N(U130)+1,0))</f>
        <v>2</v>
      </c>
      <c r="V131" s="21" t="n">
        <f aca="false">IF($A131="","",IF(N(P131)&gt;0,N(V130)+1,0))</f>
        <v>0</v>
      </c>
      <c r="W131" s="21" t="str">
        <f aca="false">IF($A131="","",IF(WEEKDAY($A131,2)&lt;&gt;7,"",IF(AND(OR(Q131="",N(Q131)&gt;=$A131+16/24,N(R131)&lt;=$A131+6/24),OR(S131="",N(S131)&lt;=$A131+6/24)),1,0)))</f>
        <v/>
      </c>
      <c r="X131" s="26" t="str">
        <f aca="false">IF($A131="","",IF(INDEX(Muster!$C$8:$BF$8,1,MOD($A131-Einstellungen!$C$6,Einstellungen!$C$7)+1)="","-",INDEX(Muster!$C$8:$BF$8,1,MOD($A131-Einstellungen!$C$6,Einstellungen!$C$7)+1)))</f>
        <v>-</v>
      </c>
      <c r="Y131" s="27" t="n">
        <f aca="false">IF($A131="","",IFERROR(VLOOKUP(X131,Schichten!$A$5:$G$24,6,FALSE()),0))</f>
        <v>0</v>
      </c>
      <c r="Z131" s="27" t="n">
        <f aca="false">IF($A131="","",IFERROR(VLOOKUP(X131,Schichten!$A$5:$G$24,7,FALSE()),0))</f>
        <v>0</v>
      </c>
      <c r="AA131" s="28" t="str">
        <f aca="false">IF($A131="","",IF(N(Y131)=0,"",$A131+VLOOKUP(X131,Schichten!$A$5:$G$24,3,FALSE())))</f>
        <v/>
      </c>
      <c r="AB131" s="28" t="str">
        <f aca="false">IF(AA131="","",$A131+VLOOKUP(X131,Schichten!$A$5:$G$24,4,FALSE())+IF(VLOOKUP(X131,Schichten!$A$5:$G$24,4,FALSE())&lt;=VLOOKUP(X131,Schichten!$A$5:$G$24,3,FALSE()),1,0))</f>
        <v/>
      </c>
      <c r="AC131" s="28" t="n">
        <f aca="false">IF($A131="","",IF(N(Y130)&gt;0,AB130,AC130))</f>
        <v>46513.25</v>
      </c>
      <c r="AD131" s="27" t="str">
        <f aca="false">IF(OR(AA131="",AC131=""),"",(AA131-AC131)*24)</f>
        <v/>
      </c>
      <c r="AE131" s="21" t="n">
        <f aca="false">IF($A131="","",IF(N(Y131)&gt;0,N(AE130)+1,0))</f>
        <v>0</v>
      </c>
      <c r="AF131" s="21" t="n">
        <f aca="false">IF($A131="","",IF(N(Z131)&gt;0,N(AF130)+1,0))</f>
        <v>0</v>
      </c>
      <c r="AG131" s="21" t="str">
        <f aca="false">IF($A131="","",IF(WEEKDAY($A131,2)&lt;&gt;7,"",IF(AND(OR(AA131="",N(AA131)&gt;=$A131+16/24,N(AB131)&lt;=$A131+6/24),OR(AC131="",N(AC131)&lt;=$A131+6/24)),1,0)))</f>
        <v/>
      </c>
      <c r="AH131" s="26" t="str">
        <f aca="false">IF($A131="","",IF(INDEX(Muster!$C$9:$BF$9,1,MOD($A131-Einstellungen!$C$6,Einstellungen!$C$7)+1)="","-",INDEX(Muster!$C$9:$BF$9,1,MOD($A131-Einstellungen!$C$6,Einstellungen!$C$7)+1)))</f>
        <v>N</v>
      </c>
      <c r="AI131" s="27" t="n">
        <f aca="false">IF($A131="","",IFERROR(VLOOKUP(AH131,Schichten!$A$5:$G$24,6,FALSE()),0))</f>
        <v>8</v>
      </c>
      <c r="AJ131" s="27" t="n">
        <f aca="false">IF($A131="","",IFERROR(VLOOKUP(AH131,Schichten!$A$5:$G$24,7,FALSE()),0))</f>
        <v>7</v>
      </c>
      <c r="AK131" s="28" t="n">
        <f aca="false">IF($A131="","",IF(N(AI131)=0,"",$A131+VLOOKUP(AH131,Schichten!$A$5:$G$24,3,FALSE())))</f>
        <v>46514.9166666667</v>
      </c>
      <c r="AL131" s="28" t="n">
        <f aca="false">IF(AK131="","",$A131+VLOOKUP(AH131,Schichten!$A$5:$G$24,4,FALSE())+IF(VLOOKUP(AH131,Schichten!$A$5:$G$24,4,FALSE())&lt;=VLOOKUP(AH131,Schichten!$A$5:$G$24,3,FALSE()),1,0))</f>
        <v>46515.25</v>
      </c>
      <c r="AM131" s="28" t="n">
        <f aca="false">IF($A131="","",IF(N(AI130)&gt;0,AL130,AM130))</f>
        <v>46514.25</v>
      </c>
      <c r="AN131" s="27" t="n">
        <f aca="false">IF(OR(AK131="",AM131=""),"",(AK131-AM131)*24)</f>
        <v>16</v>
      </c>
      <c r="AO131" s="21" t="n">
        <f aca="false">IF($A131="","",IF(N(AI131)&gt;0,N(AO130)+1,0))</f>
        <v>6</v>
      </c>
      <c r="AP131" s="21" t="n">
        <f aca="false">IF($A131="","",IF(N(AJ131)&gt;0,N(AP130)+1,0))</f>
        <v>2</v>
      </c>
      <c r="AQ131" s="21" t="str">
        <f aca="false">IF($A131="","",IF(WEEKDAY($A131,2)&lt;&gt;7,"",IF(AND(OR(AK131="",N(AK131)&gt;=$A131+16/24,N(AL131)&lt;=$A131+6/24),OR(AM131="",N(AM131)&lt;=$A131+6/24)),1,0)))</f>
        <v/>
      </c>
      <c r="AR131" s="26" t="str">
        <f aca="false">IF($A131="","",IF(INDEX(Muster!$C$10:$BF$10,1,MOD($A131-Einstellungen!$C$6,Einstellungen!$C$7)+1)="","-",INDEX(Muster!$C$10:$BF$10,1,MOD($A131-Einstellungen!$C$6,Einstellungen!$C$7)+1)))</f>
        <v>-</v>
      </c>
      <c r="AS131" s="27" t="n">
        <f aca="false">IF($A131="","",IFERROR(VLOOKUP(AR131,Schichten!$A$5:$G$24,6,FALSE()),0))</f>
        <v>0</v>
      </c>
      <c r="AT131" s="27" t="n">
        <f aca="false">IF($A131="","",IFERROR(VLOOKUP(AR131,Schichten!$A$5:$G$24,7,FALSE()),0))</f>
        <v>0</v>
      </c>
      <c r="AU131" s="28" t="str">
        <f aca="false">IF($A131="","",IF(N(AS131)=0,"",$A131+VLOOKUP(AR131,Schichten!$A$5:$G$24,3,FALSE())))</f>
        <v/>
      </c>
      <c r="AV131" s="28" t="str">
        <f aca="false">IF(AU131="","",$A131+VLOOKUP(AR131,Schichten!$A$5:$G$24,4,FALSE())+IF(VLOOKUP(AR131,Schichten!$A$5:$G$24,4,FALSE())&lt;=VLOOKUP(AR131,Schichten!$A$5:$G$24,3,FALSE()),1,0))</f>
        <v/>
      </c>
      <c r="AW131" s="28" t="str">
        <f aca="false">IF($A131="","",IF(N(AS130)&gt;0,AV130,AW130))</f>
        <v/>
      </c>
      <c r="AX131" s="27" t="str">
        <f aca="false">IF(OR(AU131="",AW131=""),"",(AU131-AW131)*24)</f>
        <v/>
      </c>
      <c r="AY131" s="21" t="n">
        <f aca="false">IF($A131="","",IF(N(AS131)&gt;0,N(AY130)+1,0))</f>
        <v>0</v>
      </c>
      <c r="AZ131" s="21" t="n">
        <f aca="false">IF($A131="","",IF(N(AT131)&gt;0,N(AZ130)+1,0))</f>
        <v>0</v>
      </c>
      <c r="BA131" s="21" t="str">
        <f aca="false">IF($A131="","",IF(WEEKDAY($A131,2)&lt;&gt;7,"",IF(AND(OR(AU131="",N(AU131)&gt;=$A131+16/24,N(AV131)&lt;=$A131+6/24),OR(AW131="",N(AW131)&lt;=$A131+6/24)),1,0)))</f>
        <v/>
      </c>
    </row>
    <row r="132" customFormat="false" ht="15" hidden="false" customHeight="false" outlineLevel="0" collapsed="false">
      <c r="A132" s="25" t="n">
        <f aca="false">IF(YEAR(DATE(Einstellungen!$C$4,1,1)+127)=Einstellungen!$C$4,DATE(Einstellungen!$C$4,1,1)+127,"")</f>
        <v>46515</v>
      </c>
      <c r="B132" s="26" t="str">
        <f aca="false">IF($A132="","",CHOOSE(WEEKDAY($A132,2),"Mo","Di","Mi","Do","Fr","Sa","So"))</f>
        <v>Sa</v>
      </c>
      <c r="C132" s="26" t="n">
        <f aca="false">IF($A132="","",MONTH($A132))</f>
        <v>5</v>
      </c>
      <c r="D132" s="26" t="str">
        <f aca="false">IF($A132="","",IF(INDEX(Muster!$C$6:$BF$6,1,MOD($A132-Einstellungen!$C$6,Einstellungen!$C$7)+1)="","-",INDEX(Muster!$C$6:$BF$6,1,MOD($A132-Einstellungen!$C$6,Einstellungen!$C$7)+1)))</f>
        <v>N</v>
      </c>
      <c r="E132" s="27" t="n">
        <f aca="false">IF($A132="","",IFERROR(VLOOKUP(D132,Schichten!$A$5:$G$24,6,FALSE()),0))</f>
        <v>8</v>
      </c>
      <c r="F132" s="27" t="n">
        <f aca="false">IF($A132="","",IFERROR(VLOOKUP(D132,Schichten!$A$5:$G$24,7,FALSE()),0))</f>
        <v>7</v>
      </c>
      <c r="G132" s="28" t="n">
        <f aca="false">IF($A132="","",IF(N(E132)=0,"",$A132+VLOOKUP(D132,Schichten!$A$5:$G$24,3,FALSE())))</f>
        <v>46515.9166666667</v>
      </c>
      <c r="H132" s="28" t="n">
        <f aca="false">IF(G132="","",$A132+VLOOKUP(D132,Schichten!$A$5:$G$24,4,FALSE())+IF(VLOOKUP(D132,Schichten!$A$5:$G$24,4,FALSE())&lt;=VLOOKUP(D132,Schichten!$A$5:$G$24,3,FALSE()),1,0))</f>
        <v>46516.25</v>
      </c>
      <c r="I132" s="28" t="n">
        <f aca="false">IF($A132="","",IF(N(E131)&gt;0,H131,I131))</f>
        <v>46514.9166666667</v>
      </c>
      <c r="J132" s="27" t="n">
        <f aca="false">IF(OR(G132="",I132=""),"",(G132-I132)*24)</f>
        <v>24</v>
      </c>
      <c r="K132" s="21" t="n">
        <f aca="false">IF($A132="","",IF(N(E132)&gt;0,N(K131)+1,0))</f>
        <v>5</v>
      </c>
      <c r="L132" s="21" t="n">
        <f aca="false">IF($A132="","",IF(N(F132)&gt;0,N(L131)+1,0))</f>
        <v>1</v>
      </c>
      <c r="M132" s="21" t="str">
        <f aca="false">IF($A132="","",IF(WEEKDAY($A132,2)&lt;&gt;7,"",IF(AND(OR(G132="",N(G132)&gt;=$A132+16/24,N(H132)&lt;=$A132+6/24),OR(I132="",N(I132)&lt;=$A132+6/24)),1,0)))</f>
        <v/>
      </c>
      <c r="N132" s="26" t="str">
        <f aca="false">IF($A132="","",IF(INDEX(Muster!$C$7:$BF$7,1,MOD($A132-Einstellungen!$C$6,Einstellungen!$C$7)+1)="","-",INDEX(Muster!$C$7:$BF$7,1,MOD($A132-Einstellungen!$C$6,Einstellungen!$C$7)+1)))</f>
        <v>S</v>
      </c>
      <c r="O132" s="27" t="n">
        <f aca="false">IF($A132="","",IFERROR(VLOOKUP(N132,Schichten!$A$5:$G$24,6,FALSE()),0))</f>
        <v>8</v>
      </c>
      <c r="P132" s="27" t="n">
        <f aca="false">IF($A132="","",IFERROR(VLOOKUP(N132,Schichten!$A$5:$G$24,7,FALSE()),0))</f>
        <v>0</v>
      </c>
      <c r="Q132" s="28" t="n">
        <f aca="false">IF($A132="","",IF(N(O132)=0,"",$A132+VLOOKUP(N132,Schichten!$A$5:$G$24,3,FALSE())))</f>
        <v>46515.5833333333</v>
      </c>
      <c r="R132" s="28" t="n">
        <f aca="false">IF(Q132="","",$A132+VLOOKUP(N132,Schichten!$A$5:$G$24,4,FALSE())+IF(VLOOKUP(N132,Schichten!$A$5:$G$24,4,FALSE())&lt;=VLOOKUP(N132,Schichten!$A$5:$G$24,3,FALSE()),1,0))</f>
        <v>46515.9166666667</v>
      </c>
      <c r="S132" s="28" t="n">
        <f aca="false">IF($A132="","",IF(N(O131)&gt;0,R131,S131))</f>
        <v>46514.5833333333</v>
      </c>
      <c r="T132" s="27" t="n">
        <f aca="false">IF(OR(Q132="",S132=""),"",(Q132-S132)*24)</f>
        <v>24</v>
      </c>
      <c r="U132" s="21" t="n">
        <f aca="false">IF($A132="","",IF(N(O132)&gt;0,N(U131)+1,0))</f>
        <v>3</v>
      </c>
      <c r="V132" s="21" t="n">
        <f aca="false">IF($A132="","",IF(N(P132)&gt;0,N(V131)+1,0))</f>
        <v>0</v>
      </c>
      <c r="W132" s="21" t="str">
        <f aca="false">IF($A132="","",IF(WEEKDAY($A132,2)&lt;&gt;7,"",IF(AND(OR(Q132="",N(Q132)&gt;=$A132+16/24,N(R132)&lt;=$A132+6/24),OR(S132="",N(S132)&lt;=$A132+6/24)),1,0)))</f>
        <v/>
      </c>
      <c r="X132" s="26" t="str">
        <f aca="false">IF($A132="","",IF(INDEX(Muster!$C$8:$BF$8,1,MOD($A132-Einstellungen!$C$6,Einstellungen!$C$7)+1)="","-",INDEX(Muster!$C$8:$BF$8,1,MOD($A132-Einstellungen!$C$6,Einstellungen!$C$7)+1)))</f>
        <v>F</v>
      </c>
      <c r="Y132" s="27" t="n">
        <f aca="false">IF($A132="","",IFERROR(VLOOKUP(X132,Schichten!$A$5:$G$24,6,FALSE()),0))</f>
        <v>8</v>
      </c>
      <c r="Z132" s="27" t="n">
        <f aca="false">IF($A132="","",IFERROR(VLOOKUP(X132,Schichten!$A$5:$G$24,7,FALSE()),0))</f>
        <v>0</v>
      </c>
      <c r="AA132" s="28" t="n">
        <f aca="false">IF($A132="","",IF(N(Y132)=0,"",$A132+VLOOKUP(X132,Schichten!$A$5:$G$24,3,FALSE())))</f>
        <v>46515.25</v>
      </c>
      <c r="AB132" s="28" t="n">
        <f aca="false">IF(AA132="","",$A132+VLOOKUP(X132,Schichten!$A$5:$G$24,4,FALSE())+IF(VLOOKUP(X132,Schichten!$A$5:$G$24,4,FALSE())&lt;=VLOOKUP(X132,Schichten!$A$5:$G$24,3,FALSE()),1,0))</f>
        <v>46515.5833333333</v>
      </c>
      <c r="AC132" s="28" t="n">
        <f aca="false">IF($A132="","",IF(N(Y131)&gt;0,AB131,AC131))</f>
        <v>46513.25</v>
      </c>
      <c r="AD132" s="27" t="n">
        <f aca="false">IF(OR(AA132="",AC132=""),"",(AA132-AC132)*24)</f>
        <v>48</v>
      </c>
      <c r="AE132" s="21" t="n">
        <f aca="false">IF($A132="","",IF(N(Y132)&gt;0,N(AE131)+1,0))</f>
        <v>1</v>
      </c>
      <c r="AF132" s="21" t="n">
        <f aca="false">IF($A132="","",IF(N(Z132)&gt;0,N(AF131)+1,0))</f>
        <v>0</v>
      </c>
      <c r="AG132" s="21" t="str">
        <f aca="false">IF($A132="","",IF(WEEKDAY($A132,2)&lt;&gt;7,"",IF(AND(OR(AA132="",N(AA132)&gt;=$A132+16/24,N(AB132)&lt;=$A132+6/24),OR(AC132="",N(AC132)&lt;=$A132+6/24)),1,0)))</f>
        <v/>
      </c>
      <c r="AH132" s="26" t="str">
        <f aca="false">IF($A132="","",IF(INDEX(Muster!$C$9:$BF$9,1,MOD($A132-Einstellungen!$C$6,Einstellungen!$C$7)+1)="","-",INDEX(Muster!$C$9:$BF$9,1,MOD($A132-Einstellungen!$C$6,Einstellungen!$C$7)+1)))</f>
        <v>-</v>
      </c>
      <c r="AI132" s="27" t="n">
        <f aca="false">IF($A132="","",IFERROR(VLOOKUP(AH132,Schichten!$A$5:$G$24,6,FALSE()),0))</f>
        <v>0</v>
      </c>
      <c r="AJ132" s="27" t="n">
        <f aca="false">IF($A132="","",IFERROR(VLOOKUP(AH132,Schichten!$A$5:$G$24,7,FALSE()),0))</f>
        <v>0</v>
      </c>
      <c r="AK132" s="28" t="str">
        <f aca="false">IF($A132="","",IF(N(AI132)=0,"",$A132+VLOOKUP(AH132,Schichten!$A$5:$G$24,3,FALSE())))</f>
        <v/>
      </c>
      <c r="AL132" s="28" t="str">
        <f aca="false">IF(AK132="","",$A132+VLOOKUP(AH132,Schichten!$A$5:$G$24,4,FALSE())+IF(VLOOKUP(AH132,Schichten!$A$5:$G$24,4,FALSE())&lt;=VLOOKUP(AH132,Schichten!$A$5:$G$24,3,FALSE()),1,0))</f>
        <v/>
      </c>
      <c r="AM132" s="28" t="n">
        <f aca="false">IF($A132="","",IF(N(AI131)&gt;0,AL131,AM131))</f>
        <v>46515.25</v>
      </c>
      <c r="AN132" s="27" t="str">
        <f aca="false">IF(OR(AK132="",AM132=""),"",(AK132-AM132)*24)</f>
        <v/>
      </c>
      <c r="AO132" s="21" t="n">
        <f aca="false">IF($A132="","",IF(N(AI132)&gt;0,N(AO131)+1,0))</f>
        <v>0</v>
      </c>
      <c r="AP132" s="21" t="n">
        <f aca="false">IF($A132="","",IF(N(AJ132)&gt;0,N(AP131)+1,0))</f>
        <v>0</v>
      </c>
      <c r="AQ132" s="21" t="str">
        <f aca="false">IF($A132="","",IF(WEEKDAY($A132,2)&lt;&gt;7,"",IF(AND(OR(AK132="",N(AK132)&gt;=$A132+16/24,N(AL132)&lt;=$A132+6/24),OR(AM132="",N(AM132)&lt;=$A132+6/24)),1,0)))</f>
        <v/>
      </c>
      <c r="AR132" s="26" t="str">
        <f aca="false">IF($A132="","",IF(INDEX(Muster!$C$10:$BF$10,1,MOD($A132-Einstellungen!$C$6,Einstellungen!$C$7)+1)="","-",INDEX(Muster!$C$10:$BF$10,1,MOD($A132-Einstellungen!$C$6,Einstellungen!$C$7)+1)))</f>
        <v>-</v>
      </c>
      <c r="AS132" s="27" t="n">
        <f aca="false">IF($A132="","",IFERROR(VLOOKUP(AR132,Schichten!$A$5:$G$24,6,FALSE()),0))</f>
        <v>0</v>
      </c>
      <c r="AT132" s="27" t="n">
        <f aca="false">IF($A132="","",IFERROR(VLOOKUP(AR132,Schichten!$A$5:$G$24,7,FALSE()),0))</f>
        <v>0</v>
      </c>
      <c r="AU132" s="28" t="str">
        <f aca="false">IF($A132="","",IF(N(AS132)=0,"",$A132+VLOOKUP(AR132,Schichten!$A$5:$G$24,3,FALSE())))</f>
        <v/>
      </c>
      <c r="AV132" s="28" t="str">
        <f aca="false">IF(AU132="","",$A132+VLOOKUP(AR132,Schichten!$A$5:$G$24,4,FALSE())+IF(VLOOKUP(AR132,Schichten!$A$5:$G$24,4,FALSE())&lt;=VLOOKUP(AR132,Schichten!$A$5:$G$24,3,FALSE()),1,0))</f>
        <v/>
      </c>
      <c r="AW132" s="28" t="str">
        <f aca="false">IF($A132="","",IF(N(AS131)&gt;0,AV131,AW131))</f>
        <v/>
      </c>
      <c r="AX132" s="27" t="str">
        <f aca="false">IF(OR(AU132="",AW132=""),"",(AU132-AW132)*24)</f>
        <v/>
      </c>
      <c r="AY132" s="21" t="n">
        <f aca="false">IF($A132="","",IF(N(AS132)&gt;0,N(AY131)+1,0))</f>
        <v>0</v>
      </c>
      <c r="AZ132" s="21" t="n">
        <f aca="false">IF($A132="","",IF(N(AT132)&gt;0,N(AZ131)+1,0))</f>
        <v>0</v>
      </c>
      <c r="BA132" s="21" t="str">
        <f aca="false">IF($A132="","",IF(WEEKDAY($A132,2)&lt;&gt;7,"",IF(AND(OR(AU132="",N(AU132)&gt;=$A132+16/24,N(AV132)&lt;=$A132+6/24),OR(AW132="",N(AW132)&lt;=$A132+6/24)),1,0)))</f>
        <v/>
      </c>
    </row>
    <row r="133" customFormat="false" ht="15" hidden="false" customHeight="false" outlineLevel="0" collapsed="false">
      <c r="A133" s="25" t="n">
        <f aca="false">IF(YEAR(DATE(Einstellungen!$C$4,1,1)+128)=Einstellungen!$C$4,DATE(Einstellungen!$C$4,1,1)+128,"")</f>
        <v>46516</v>
      </c>
      <c r="B133" s="26" t="str">
        <f aca="false">IF($A133="","",CHOOSE(WEEKDAY($A133,2),"Mo","Di","Mi","Do","Fr","Sa","So"))</f>
        <v>So</v>
      </c>
      <c r="C133" s="26" t="n">
        <f aca="false">IF($A133="","",MONTH($A133))</f>
        <v>5</v>
      </c>
      <c r="D133" s="26" t="str">
        <f aca="false">IF($A133="","",IF(INDEX(Muster!$C$6:$BF$6,1,MOD($A133-Einstellungen!$C$6,Einstellungen!$C$7)+1)="","-",INDEX(Muster!$C$6:$BF$6,1,MOD($A133-Einstellungen!$C$6,Einstellungen!$C$7)+1)))</f>
        <v>N</v>
      </c>
      <c r="E133" s="27" t="n">
        <f aca="false">IF($A133="","",IFERROR(VLOOKUP(D133,Schichten!$A$5:$G$24,6,FALSE()),0))</f>
        <v>8</v>
      </c>
      <c r="F133" s="27" t="n">
        <f aca="false">IF($A133="","",IFERROR(VLOOKUP(D133,Schichten!$A$5:$G$24,7,FALSE()),0))</f>
        <v>7</v>
      </c>
      <c r="G133" s="28" t="n">
        <f aca="false">IF($A133="","",IF(N(E133)=0,"",$A133+VLOOKUP(D133,Schichten!$A$5:$G$24,3,FALSE())))</f>
        <v>46516.9166666667</v>
      </c>
      <c r="H133" s="28" t="n">
        <f aca="false">IF(G133="","",$A133+VLOOKUP(D133,Schichten!$A$5:$G$24,4,FALSE())+IF(VLOOKUP(D133,Schichten!$A$5:$G$24,4,FALSE())&lt;=VLOOKUP(D133,Schichten!$A$5:$G$24,3,FALSE()),1,0))</f>
        <v>46517.25</v>
      </c>
      <c r="I133" s="28" t="n">
        <f aca="false">IF($A133="","",IF(N(E132)&gt;0,H132,I132))</f>
        <v>46516.25</v>
      </c>
      <c r="J133" s="27" t="n">
        <f aca="false">IF(OR(G133="",I133=""),"",(G133-I133)*24)</f>
        <v>16</v>
      </c>
      <c r="K133" s="21" t="n">
        <f aca="false">IF($A133="","",IF(N(E133)&gt;0,N(K132)+1,0))</f>
        <v>6</v>
      </c>
      <c r="L133" s="21" t="n">
        <f aca="false">IF($A133="","",IF(N(F133)&gt;0,N(L132)+1,0))</f>
        <v>2</v>
      </c>
      <c r="M133" s="21" t="n">
        <f aca="false">IF($A133="","",IF(WEEKDAY($A133,2)&lt;&gt;7,"",IF(AND(OR(G133="",N(G133)&gt;=$A133+16/24,N(H133)&lt;=$A133+6/24),OR(I133="",N(I133)&lt;=$A133+6/24)),1,0)))</f>
        <v>1</v>
      </c>
      <c r="N133" s="26" t="str">
        <f aca="false">IF($A133="","",IF(INDEX(Muster!$C$7:$BF$7,1,MOD($A133-Einstellungen!$C$6,Einstellungen!$C$7)+1)="","-",INDEX(Muster!$C$7:$BF$7,1,MOD($A133-Einstellungen!$C$6,Einstellungen!$C$7)+1)))</f>
        <v>S</v>
      </c>
      <c r="O133" s="27" t="n">
        <f aca="false">IF($A133="","",IFERROR(VLOOKUP(N133,Schichten!$A$5:$G$24,6,FALSE()),0))</f>
        <v>8</v>
      </c>
      <c r="P133" s="27" t="n">
        <f aca="false">IF($A133="","",IFERROR(VLOOKUP(N133,Schichten!$A$5:$G$24,7,FALSE()),0))</f>
        <v>0</v>
      </c>
      <c r="Q133" s="28" t="n">
        <f aca="false">IF($A133="","",IF(N(O133)=0,"",$A133+VLOOKUP(N133,Schichten!$A$5:$G$24,3,FALSE())))</f>
        <v>46516.5833333333</v>
      </c>
      <c r="R133" s="28" t="n">
        <f aca="false">IF(Q133="","",$A133+VLOOKUP(N133,Schichten!$A$5:$G$24,4,FALSE())+IF(VLOOKUP(N133,Schichten!$A$5:$G$24,4,FALSE())&lt;=VLOOKUP(N133,Schichten!$A$5:$G$24,3,FALSE()),1,0))</f>
        <v>46516.9166666667</v>
      </c>
      <c r="S133" s="28" t="n">
        <f aca="false">IF($A133="","",IF(N(O132)&gt;0,R132,S132))</f>
        <v>46515.9166666667</v>
      </c>
      <c r="T133" s="27" t="n">
        <f aca="false">IF(OR(Q133="",S133=""),"",(Q133-S133)*24)</f>
        <v>16</v>
      </c>
      <c r="U133" s="21" t="n">
        <f aca="false">IF($A133="","",IF(N(O133)&gt;0,N(U132)+1,0))</f>
        <v>4</v>
      </c>
      <c r="V133" s="21" t="n">
        <f aca="false">IF($A133="","",IF(N(P133)&gt;0,N(V132)+1,0))</f>
        <v>0</v>
      </c>
      <c r="W133" s="21" t="n">
        <f aca="false">IF($A133="","",IF(WEEKDAY($A133,2)&lt;&gt;7,"",IF(AND(OR(Q133="",N(Q133)&gt;=$A133+16/24,N(R133)&lt;=$A133+6/24),OR(S133="",N(S133)&lt;=$A133+6/24)),1,0)))</f>
        <v>0</v>
      </c>
      <c r="X133" s="26" t="str">
        <f aca="false">IF($A133="","",IF(INDEX(Muster!$C$8:$BF$8,1,MOD($A133-Einstellungen!$C$6,Einstellungen!$C$7)+1)="","-",INDEX(Muster!$C$8:$BF$8,1,MOD($A133-Einstellungen!$C$6,Einstellungen!$C$7)+1)))</f>
        <v>F</v>
      </c>
      <c r="Y133" s="27" t="n">
        <f aca="false">IF($A133="","",IFERROR(VLOOKUP(X133,Schichten!$A$5:$G$24,6,FALSE()),0))</f>
        <v>8</v>
      </c>
      <c r="Z133" s="27" t="n">
        <f aca="false">IF($A133="","",IFERROR(VLOOKUP(X133,Schichten!$A$5:$G$24,7,FALSE()),0))</f>
        <v>0</v>
      </c>
      <c r="AA133" s="28" t="n">
        <f aca="false">IF($A133="","",IF(N(Y133)=0,"",$A133+VLOOKUP(X133,Schichten!$A$5:$G$24,3,FALSE())))</f>
        <v>46516.25</v>
      </c>
      <c r="AB133" s="28" t="n">
        <f aca="false">IF(AA133="","",$A133+VLOOKUP(X133,Schichten!$A$5:$G$24,4,FALSE())+IF(VLOOKUP(X133,Schichten!$A$5:$G$24,4,FALSE())&lt;=VLOOKUP(X133,Schichten!$A$5:$G$24,3,FALSE()),1,0))</f>
        <v>46516.5833333333</v>
      </c>
      <c r="AC133" s="28" t="n">
        <f aca="false">IF($A133="","",IF(N(Y132)&gt;0,AB132,AC132))</f>
        <v>46515.5833333333</v>
      </c>
      <c r="AD133" s="27" t="n">
        <f aca="false">IF(OR(AA133="",AC133=""),"",(AA133-AC133)*24)</f>
        <v>16</v>
      </c>
      <c r="AE133" s="21" t="n">
        <f aca="false">IF($A133="","",IF(N(Y133)&gt;0,N(AE132)+1,0))</f>
        <v>2</v>
      </c>
      <c r="AF133" s="21" t="n">
        <f aca="false">IF($A133="","",IF(N(Z133)&gt;0,N(AF132)+1,0))</f>
        <v>0</v>
      </c>
      <c r="AG133" s="21" t="n">
        <f aca="false">IF($A133="","",IF(WEEKDAY($A133,2)&lt;&gt;7,"",IF(AND(OR(AA133="",N(AA133)&gt;=$A133+16/24,N(AB133)&lt;=$A133+6/24),OR(AC133="",N(AC133)&lt;=$A133+6/24)),1,0)))</f>
        <v>0</v>
      </c>
      <c r="AH133" s="26" t="str">
        <f aca="false">IF($A133="","",IF(INDEX(Muster!$C$9:$BF$9,1,MOD($A133-Einstellungen!$C$6,Einstellungen!$C$7)+1)="","-",INDEX(Muster!$C$9:$BF$9,1,MOD($A133-Einstellungen!$C$6,Einstellungen!$C$7)+1)))</f>
        <v>-</v>
      </c>
      <c r="AI133" s="27" t="n">
        <f aca="false">IF($A133="","",IFERROR(VLOOKUP(AH133,Schichten!$A$5:$G$24,6,FALSE()),0))</f>
        <v>0</v>
      </c>
      <c r="AJ133" s="27" t="n">
        <f aca="false">IF($A133="","",IFERROR(VLOOKUP(AH133,Schichten!$A$5:$G$24,7,FALSE()),0))</f>
        <v>0</v>
      </c>
      <c r="AK133" s="28" t="str">
        <f aca="false">IF($A133="","",IF(N(AI133)=0,"",$A133+VLOOKUP(AH133,Schichten!$A$5:$G$24,3,FALSE())))</f>
        <v/>
      </c>
      <c r="AL133" s="28" t="str">
        <f aca="false">IF(AK133="","",$A133+VLOOKUP(AH133,Schichten!$A$5:$G$24,4,FALSE())+IF(VLOOKUP(AH133,Schichten!$A$5:$G$24,4,FALSE())&lt;=VLOOKUP(AH133,Schichten!$A$5:$G$24,3,FALSE()),1,0))</f>
        <v/>
      </c>
      <c r="AM133" s="28" t="n">
        <f aca="false">IF($A133="","",IF(N(AI132)&gt;0,AL132,AM132))</f>
        <v>46515.25</v>
      </c>
      <c r="AN133" s="27" t="str">
        <f aca="false">IF(OR(AK133="",AM133=""),"",(AK133-AM133)*24)</f>
        <v/>
      </c>
      <c r="AO133" s="21" t="n">
        <f aca="false">IF($A133="","",IF(N(AI133)&gt;0,N(AO132)+1,0))</f>
        <v>0</v>
      </c>
      <c r="AP133" s="21" t="n">
        <f aca="false">IF($A133="","",IF(N(AJ133)&gt;0,N(AP132)+1,0))</f>
        <v>0</v>
      </c>
      <c r="AQ133" s="21" t="n">
        <f aca="false">IF($A133="","",IF(WEEKDAY($A133,2)&lt;&gt;7,"",IF(AND(OR(AK133="",N(AK133)&gt;=$A133+16/24,N(AL133)&lt;=$A133+6/24),OR(AM133="",N(AM133)&lt;=$A133+6/24)),1,0)))</f>
        <v>1</v>
      </c>
      <c r="AR133" s="26" t="str">
        <f aca="false">IF($A133="","",IF(INDEX(Muster!$C$10:$BF$10,1,MOD($A133-Einstellungen!$C$6,Einstellungen!$C$7)+1)="","-",INDEX(Muster!$C$10:$BF$10,1,MOD($A133-Einstellungen!$C$6,Einstellungen!$C$7)+1)))</f>
        <v>-</v>
      </c>
      <c r="AS133" s="27" t="n">
        <f aca="false">IF($A133="","",IFERROR(VLOOKUP(AR133,Schichten!$A$5:$G$24,6,FALSE()),0))</f>
        <v>0</v>
      </c>
      <c r="AT133" s="27" t="n">
        <f aca="false">IF($A133="","",IFERROR(VLOOKUP(AR133,Schichten!$A$5:$G$24,7,FALSE()),0))</f>
        <v>0</v>
      </c>
      <c r="AU133" s="28" t="str">
        <f aca="false">IF($A133="","",IF(N(AS133)=0,"",$A133+VLOOKUP(AR133,Schichten!$A$5:$G$24,3,FALSE())))</f>
        <v/>
      </c>
      <c r="AV133" s="28" t="str">
        <f aca="false">IF(AU133="","",$A133+VLOOKUP(AR133,Schichten!$A$5:$G$24,4,FALSE())+IF(VLOOKUP(AR133,Schichten!$A$5:$G$24,4,FALSE())&lt;=VLOOKUP(AR133,Schichten!$A$5:$G$24,3,FALSE()),1,0))</f>
        <v/>
      </c>
      <c r="AW133" s="28" t="str">
        <f aca="false">IF($A133="","",IF(N(AS132)&gt;0,AV132,AW132))</f>
        <v/>
      </c>
      <c r="AX133" s="27" t="str">
        <f aca="false">IF(OR(AU133="",AW133=""),"",(AU133-AW133)*24)</f>
        <v/>
      </c>
      <c r="AY133" s="21" t="n">
        <f aca="false">IF($A133="","",IF(N(AS133)&gt;0,N(AY132)+1,0))</f>
        <v>0</v>
      </c>
      <c r="AZ133" s="21" t="n">
        <f aca="false">IF($A133="","",IF(N(AT133)&gt;0,N(AZ132)+1,0))</f>
        <v>0</v>
      </c>
      <c r="BA133" s="21" t="n">
        <f aca="false">IF($A133="","",IF(WEEKDAY($A133,2)&lt;&gt;7,"",IF(AND(OR(AU133="",N(AU133)&gt;=$A133+16/24,N(AV133)&lt;=$A133+6/24),OR(AW133="",N(AW133)&lt;=$A133+6/24)),1,0)))</f>
        <v>1</v>
      </c>
    </row>
    <row r="134" customFormat="false" ht="15" hidden="false" customHeight="false" outlineLevel="0" collapsed="false">
      <c r="A134" s="25" t="n">
        <f aca="false">IF(YEAR(DATE(Einstellungen!$C$4,1,1)+129)=Einstellungen!$C$4,DATE(Einstellungen!$C$4,1,1)+129,"")</f>
        <v>46517</v>
      </c>
      <c r="B134" s="26" t="str">
        <f aca="false">IF($A134="","",CHOOSE(WEEKDAY($A134,2),"Mo","Di","Mi","Do","Fr","Sa","So"))</f>
        <v>Mo</v>
      </c>
      <c r="C134" s="26" t="n">
        <f aca="false">IF($A134="","",MONTH($A134))</f>
        <v>5</v>
      </c>
      <c r="D134" s="26" t="str">
        <f aca="false">IF($A134="","",IF(INDEX(Muster!$C$6:$BF$6,1,MOD($A134-Einstellungen!$C$6,Einstellungen!$C$7)+1)="","-",INDEX(Muster!$C$6:$BF$6,1,MOD($A134-Einstellungen!$C$6,Einstellungen!$C$7)+1)))</f>
        <v>-</v>
      </c>
      <c r="E134" s="27" t="n">
        <f aca="false">IF($A134="","",IFERROR(VLOOKUP(D134,Schichten!$A$5:$G$24,6,FALSE()),0))</f>
        <v>0</v>
      </c>
      <c r="F134" s="27" t="n">
        <f aca="false">IF($A134="","",IFERROR(VLOOKUP(D134,Schichten!$A$5:$G$24,7,FALSE()),0))</f>
        <v>0</v>
      </c>
      <c r="G134" s="28" t="str">
        <f aca="false">IF($A134="","",IF(N(E134)=0,"",$A134+VLOOKUP(D134,Schichten!$A$5:$G$24,3,FALSE())))</f>
        <v/>
      </c>
      <c r="H134" s="28" t="str">
        <f aca="false">IF(G134="","",$A134+VLOOKUP(D134,Schichten!$A$5:$G$24,4,FALSE())+IF(VLOOKUP(D134,Schichten!$A$5:$G$24,4,FALSE())&lt;=VLOOKUP(D134,Schichten!$A$5:$G$24,3,FALSE()),1,0))</f>
        <v/>
      </c>
      <c r="I134" s="28" t="n">
        <f aca="false">IF($A134="","",IF(N(E133)&gt;0,H133,I133))</f>
        <v>46517.25</v>
      </c>
      <c r="J134" s="27" t="str">
        <f aca="false">IF(OR(G134="",I134=""),"",(G134-I134)*24)</f>
        <v/>
      </c>
      <c r="K134" s="21" t="n">
        <f aca="false">IF($A134="","",IF(N(E134)&gt;0,N(K133)+1,0))</f>
        <v>0</v>
      </c>
      <c r="L134" s="21" t="n">
        <f aca="false">IF($A134="","",IF(N(F134)&gt;0,N(L133)+1,0))</f>
        <v>0</v>
      </c>
      <c r="M134" s="21" t="str">
        <f aca="false">IF($A134="","",IF(WEEKDAY($A134,2)&lt;&gt;7,"",IF(AND(OR(G134="",N(G134)&gt;=$A134+16/24,N(H134)&lt;=$A134+6/24),OR(I134="",N(I134)&lt;=$A134+6/24)),1,0)))</f>
        <v/>
      </c>
      <c r="N134" s="26" t="str">
        <f aca="false">IF($A134="","",IF(INDEX(Muster!$C$7:$BF$7,1,MOD($A134-Einstellungen!$C$6,Einstellungen!$C$7)+1)="","-",INDEX(Muster!$C$7:$BF$7,1,MOD($A134-Einstellungen!$C$6,Einstellungen!$C$7)+1)))</f>
        <v>N</v>
      </c>
      <c r="O134" s="27" t="n">
        <f aca="false">IF($A134="","",IFERROR(VLOOKUP(N134,Schichten!$A$5:$G$24,6,FALSE()),0))</f>
        <v>8</v>
      </c>
      <c r="P134" s="27" t="n">
        <f aca="false">IF($A134="","",IFERROR(VLOOKUP(N134,Schichten!$A$5:$G$24,7,FALSE()),0))</f>
        <v>7</v>
      </c>
      <c r="Q134" s="28" t="n">
        <f aca="false">IF($A134="","",IF(N(O134)=0,"",$A134+VLOOKUP(N134,Schichten!$A$5:$G$24,3,FALSE())))</f>
        <v>46517.9166666667</v>
      </c>
      <c r="R134" s="28" t="n">
        <f aca="false">IF(Q134="","",$A134+VLOOKUP(N134,Schichten!$A$5:$G$24,4,FALSE())+IF(VLOOKUP(N134,Schichten!$A$5:$G$24,4,FALSE())&lt;=VLOOKUP(N134,Schichten!$A$5:$G$24,3,FALSE()),1,0))</f>
        <v>46518.25</v>
      </c>
      <c r="S134" s="28" t="n">
        <f aca="false">IF($A134="","",IF(N(O133)&gt;0,R133,S133))</f>
        <v>46516.9166666667</v>
      </c>
      <c r="T134" s="27" t="n">
        <f aca="false">IF(OR(Q134="",S134=""),"",(Q134-S134)*24)</f>
        <v>24</v>
      </c>
      <c r="U134" s="21" t="n">
        <f aca="false">IF($A134="","",IF(N(O134)&gt;0,N(U133)+1,0))</f>
        <v>5</v>
      </c>
      <c r="V134" s="21" t="n">
        <f aca="false">IF($A134="","",IF(N(P134)&gt;0,N(V133)+1,0))</f>
        <v>1</v>
      </c>
      <c r="W134" s="21" t="str">
        <f aca="false">IF($A134="","",IF(WEEKDAY($A134,2)&lt;&gt;7,"",IF(AND(OR(Q134="",N(Q134)&gt;=$A134+16/24,N(R134)&lt;=$A134+6/24),OR(S134="",N(S134)&lt;=$A134+6/24)),1,0)))</f>
        <v/>
      </c>
      <c r="X134" s="26" t="str">
        <f aca="false">IF($A134="","",IF(INDEX(Muster!$C$8:$BF$8,1,MOD($A134-Einstellungen!$C$6,Einstellungen!$C$7)+1)="","-",INDEX(Muster!$C$8:$BF$8,1,MOD($A134-Einstellungen!$C$6,Einstellungen!$C$7)+1)))</f>
        <v>S</v>
      </c>
      <c r="Y134" s="27" t="n">
        <f aca="false">IF($A134="","",IFERROR(VLOOKUP(X134,Schichten!$A$5:$G$24,6,FALSE()),0))</f>
        <v>8</v>
      </c>
      <c r="Z134" s="27" t="n">
        <f aca="false">IF($A134="","",IFERROR(VLOOKUP(X134,Schichten!$A$5:$G$24,7,FALSE()),0))</f>
        <v>0</v>
      </c>
      <c r="AA134" s="28" t="n">
        <f aca="false">IF($A134="","",IF(N(Y134)=0,"",$A134+VLOOKUP(X134,Schichten!$A$5:$G$24,3,FALSE())))</f>
        <v>46517.5833333333</v>
      </c>
      <c r="AB134" s="28" t="n">
        <f aca="false">IF(AA134="","",$A134+VLOOKUP(X134,Schichten!$A$5:$G$24,4,FALSE())+IF(VLOOKUP(X134,Schichten!$A$5:$G$24,4,FALSE())&lt;=VLOOKUP(X134,Schichten!$A$5:$G$24,3,FALSE()),1,0))</f>
        <v>46517.9166666667</v>
      </c>
      <c r="AC134" s="28" t="n">
        <f aca="false">IF($A134="","",IF(N(Y133)&gt;0,AB133,AC133))</f>
        <v>46516.5833333333</v>
      </c>
      <c r="AD134" s="27" t="n">
        <f aca="false">IF(OR(AA134="",AC134=""),"",(AA134-AC134)*24)</f>
        <v>24</v>
      </c>
      <c r="AE134" s="21" t="n">
        <f aca="false">IF($A134="","",IF(N(Y134)&gt;0,N(AE133)+1,0))</f>
        <v>3</v>
      </c>
      <c r="AF134" s="21" t="n">
        <f aca="false">IF($A134="","",IF(N(Z134)&gt;0,N(AF133)+1,0))</f>
        <v>0</v>
      </c>
      <c r="AG134" s="21" t="str">
        <f aca="false">IF($A134="","",IF(WEEKDAY($A134,2)&lt;&gt;7,"",IF(AND(OR(AA134="",N(AA134)&gt;=$A134+16/24,N(AB134)&lt;=$A134+6/24),OR(AC134="",N(AC134)&lt;=$A134+6/24)),1,0)))</f>
        <v/>
      </c>
      <c r="AH134" s="26" t="str">
        <f aca="false">IF($A134="","",IF(INDEX(Muster!$C$9:$BF$9,1,MOD($A134-Einstellungen!$C$6,Einstellungen!$C$7)+1)="","-",INDEX(Muster!$C$9:$BF$9,1,MOD($A134-Einstellungen!$C$6,Einstellungen!$C$7)+1)))</f>
        <v>F</v>
      </c>
      <c r="AI134" s="27" t="n">
        <f aca="false">IF($A134="","",IFERROR(VLOOKUP(AH134,Schichten!$A$5:$G$24,6,FALSE()),0))</f>
        <v>8</v>
      </c>
      <c r="AJ134" s="27" t="n">
        <f aca="false">IF($A134="","",IFERROR(VLOOKUP(AH134,Schichten!$A$5:$G$24,7,FALSE()),0))</f>
        <v>0</v>
      </c>
      <c r="AK134" s="28" t="n">
        <f aca="false">IF($A134="","",IF(N(AI134)=0,"",$A134+VLOOKUP(AH134,Schichten!$A$5:$G$24,3,FALSE())))</f>
        <v>46517.25</v>
      </c>
      <c r="AL134" s="28" t="n">
        <f aca="false">IF(AK134="","",$A134+VLOOKUP(AH134,Schichten!$A$5:$G$24,4,FALSE())+IF(VLOOKUP(AH134,Schichten!$A$5:$G$24,4,FALSE())&lt;=VLOOKUP(AH134,Schichten!$A$5:$G$24,3,FALSE()),1,0))</f>
        <v>46517.5833333333</v>
      </c>
      <c r="AM134" s="28" t="n">
        <f aca="false">IF($A134="","",IF(N(AI133)&gt;0,AL133,AM133))</f>
        <v>46515.25</v>
      </c>
      <c r="AN134" s="27" t="n">
        <f aca="false">IF(OR(AK134="",AM134=""),"",(AK134-AM134)*24)</f>
        <v>48</v>
      </c>
      <c r="AO134" s="21" t="n">
        <f aca="false">IF($A134="","",IF(N(AI134)&gt;0,N(AO133)+1,0))</f>
        <v>1</v>
      </c>
      <c r="AP134" s="21" t="n">
        <f aca="false">IF($A134="","",IF(N(AJ134)&gt;0,N(AP133)+1,0))</f>
        <v>0</v>
      </c>
      <c r="AQ134" s="21" t="str">
        <f aca="false">IF($A134="","",IF(WEEKDAY($A134,2)&lt;&gt;7,"",IF(AND(OR(AK134="",N(AK134)&gt;=$A134+16/24,N(AL134)&lt;=$A134+6/24),OR(AM134="",N(AM134)&lt;=$A134+6/24)),1,0)))</f>
        <v/>
      </c>
      <c r="AR134" s="26" t="str">
        <f aca="false">IF($A134="","",IF(INDEX(Muster!$C$10:$BF$10,1,MOD($A134-Einstellungen!$C$6,Einstellungen!$C$7)+1)="","-",INDEX(Muster!$C$10:$BF$10,1,MOD($A134-Einstellungen!$C$6,Einstellungen!$C$7)+1)))</f>
        <v>-</v>
      </c>
      <c r="AS134" s="27" t="n">
        <f aca="false">IF($A134="","",IFERROR(VLOOKUP(AR134,Schichten!$A$5:$G$24,6,FALSE()),0))</f>
        <v>0</v>
      </c>
      <c r="AT134" s="27" t="n">
        <f aca="false">IF($A134="","",IFERROR(VLOOKUP(AR134,Schichten!$A$5:$G$24,7,FALSE()),0))</f>
        <v>0</v>
      </c>
      <c r="AU134" s="28" t="str">
        <f aca="false">IF($A134="","",IF(N(AS134)=0,"",$A134+VLOOKUP(AR134,Schichten!$A$5:$G$24,3,FALSE())))</f>
        <v/>
      </c>
      <c r="AV134" s="28" t="str">
        <f aca="false">IF(AU134="","",$A134+VLOOKUP(AR134,Schichten!$A$5:$G$24,4,FALSE())+IF(VLOOKUP(AR134,Schichten!$A$5:$G$24,4,FALSE())&lt;=VLOOKUP(AR134,Schichten!$A$5:$G$24,3,FALSE()),1,0))</f>
        <v/>
      </c>
      <c r="AW134" s="28" t="str">
        <f aca="false">IF($A134="","",IF(N(AS133)&gt;0,AV133,AW133))</f>
        <v/>
      </c>
      <c r="AX134" s="27" t="str">
        <f aca="false">IF(OR(AU134="",AW134=""),"",(AU134-AW134)*24)</f>
        <v/>
      </c>
      <c r="AY134" s="21" t="n">
        <f aca="false">IF($A134="","",IF(N(AS134)&gt;0,N(AY133)+1,0))</f>
        <v>0</v>
      </c>
      <c r="AZ134" s="21" t="n">
        <f aca="false">IF($A134="","",IF(N(AT134)&gt;0,N(AZ133)+1,0))</f>
        <v>0</v>
      </c>
      <c r="BA134" s="21" t="str">
        <f aca="false">IF($A134="","",IF(WEEKDAY($A134,2)&lt;&gt;7,"",IF(AND(OR(AU134="",N(AU134)&gt;=$A134+16/24,N(AV134)&lt;=$A134+6/24),OR(AW134="",N(AW134)&lt;=$A134+6/24)),1,0)))</f>
        <v/>
      </c>
    </row>
    <row r="135" customFormat="false" ht="15" hidden="false" customHeight="false" outlineLevel="0" collapsed="false">
      <c r="A135" s="25" t="n">
        <f aca="false">IF(YEAR(DATE(Einstellungen!$C$4,1,1)+130)=Einstellungen!$C$4,DATE(Einstellungen!$C$4,1,1)+130,"")</f>
        <v>46518</v>
      </c>
      <c r="B135" s="26" t="str">
        <f aca="false">IF($A135="","",CHOOSE(WEEKDAY($A135,2),"Mo","Di","Mi","Do","Fr","Sa","So"))</f>
        <v>Di</v>
      </c>
      <c r="C135" s="26" t="n">
        <f aca="false">IF($A135="","",MONTH($A135))</f>
        <v>5</v>
      </c>
      <c r="D135" s="26" t="str">
        <f aca="false">IF($A135="","",IF(INDEX(Muster!$C$6:$BF$6,1,MOD($A135-Einstellungen!$C$6,Einstellungen!$C$7)+1)="","-",INDEX(Muster!$C$6:$BF$6,1,MOD($A135-Einstellungen!$C$6,Einstellungen!$C$7)+1)))</f>
        <v>-</v>
      </c>
      <c r="E135" s="27" t="n">
        <f aca="false">IF($A135="","",IFERROR(VLOOKUP(D135,Schichten!$A$5:$G$24,6,FALSE()),0))</f>
        <v>0</v>
      </c>
      <c r="F135" s="27" t="n">
        <f aca="false">IF($A135="","",IFERROR(VLOOKUP(D135,Schichten!$A$5:$G$24,7,FALSE()),0))</f>
        <v>0</v>
      </c>
      <c r="G135" s="28" t="str">
        <f aca="false">IF($A135="","",IF(N(E135)=0,"",$A135+VLOOKUP(D135,Schichten!$A$5:$G$24,3,FALSE())))</f>
        <v/>
      </c>
      <c r="H135" s="28" t="str">
        <f aca="false">IF(G135="","",$A135+VLOOKUP(D135,Schichten!$A$5:$G$24,4,FALSE())+IF(VLOOKUP(D135,Schichten!$A$5:$G$24,4,FALSE())&lt;=VLOOKUP(D135,Schichten!$A$5:$G$24,3,FALSE()),1,0))</f>
        <v/>
      </c>
      <c r="I135" s="28" t="n">
        <f aca="false">IF($A135="","",IF(N(E134)&gt;0,H134,I134))</f>
        <v>46517.25</v>
      </c>
      <c r="J135" s="27" t="str">
        <f aca="false">IF(OR(G135="",I135=""),"",(G135-I135)*24)</f>
        <v/>
      </c>
      <c r="K135" s="21" t="n">
        <f aca="false">IF($A135="","",IF(N(E135)&gt;0,N(K134)+1,0))</f>
        <v>0</v>
      </c>
      <c r="L135" s="21" t="n">
        <f aca="false">IF($A135="","",IF(N(F135)&gt;0,N(L134)+1,0))</f>
        <v>0</v>
      </c>
      <c r="M135" s="21" t="str">
        <f aca="false">IF($A135="","",IF(WEEKDAY($A135,2)&lt;&gt;7,"",IF(AND(OR(G135="",N(G135)&gt;=$A135+16/24,N(H135)&lt;=$A135+6/24),OR(I135="",N(I135)&lt;=$A135+6/24)),1,0)))</f>
        <v/>
      </c>
      <c r="N135" s="26" t="str">
        <f aca="false">IF($A135="","",IF(INDEX(Muster!$C$7:$BF$7,1,MOD($A135-Einstellungen!$C$6,Einstellungen!$C$7)+1)="","-",INDEX(Muster!$C$7:$BF$7,1,MOD($A135-Einstellungen!$C$6,Einstellungen!$C$7)+1)))</f>
        <v>N</v>
      </c>
      <c r="O135" s="27" t="n">
        <f aca="false">IF($A135="","",IFERROR(VLOOKUP(N135,Schichten!$A$5:$G$24,6,FALSE()),0))</f>
        <v>8</v>
      </c>
      <c r="P135" s="27" t="n">
        <f aca="false">IF($A135="","",IFERROR(VLOOKUP(N135,Schichten!$A$5:$G$24,7,FALSE()),0))</f>
        <v>7</v>
      </c>
      <c r="Q135" s="28" t="n">
        <f aca="false">IF($A135="","",IF(N(O135)=0,"",$A135+VLOOKUP(N135,Schichten!$A$5:$G$24,3,FALSE())))</f>
        <v>46518.9166666667</v>
      </c>
      <c r="R135" s="28" t="n">
        <f aca="false">IF(Q135="","",$A135+VLOOKUP(N135,Schichten!$A$5:$G$24,4,FALSE())+IF(VLOOKUP(N135,Schichten!$A$5:$G$24,4,FALSE())&lt;=VLOOKUP(N135,Schichten!$A$5:$G$24,3,FALSE()),1,0))</f>
        <v>46519.25</v>
      </c>
      <c r="S135" s="28" t="n">
        <f aca="false">IF($A135="","",IF(N(O134)&gt;0,R134,S134))</f>
        <v>46518.25</v>
      </c>
      <c r="T135" s="27" t="n">
        <f aca="false">IF(OR(Q135="",S135=""),"",(Q135-S135)*24)</f>
        <v>16</v>
      </c>
      <c r="U135" s="21" t="n">
        <f aca="false">IF($A135="","",IF(N(O135)&gt;0,N(U134)+1,0))</f>
        <v>6</v>
      </c>
      <c r="V135" s="21" t="n">
        <f aca="false">IF($A135="","",IF(N(P135)&gt;0,N(V134)+1,0))</f>
        <v>2</v>
      </c>
      <c r="W135" s="21" t="str">
        <f aca="false">IF($A135="","",IF(WEEKDAY($A135,2)&lt;&gt;7,"",IF(AND(OR(Q135="",N(Q135)&gt;=$A135+16/24,N(R135)&lt;=$A135+6/24),OR(S135="",N(S135)&lt;=$A135+6/24)),1,0)))</f>
        <v/>
      </c>
      <c r="X135" s="26" t="str">
        <f aca="false">IF($A135="","",IF(INDEX(Muster!$C$8:$BF$8,1,MOD($A135-Einstellungen!$C$6,Einstellungen!$C$7)+1)="","-",INDEX(Muster!$C$8:$BF$8,1,MOD($A135-Einstellungen!$C$6,Einstellungen!$C$7)+1)))</f>
        <v>S</v>
      </c>
      <c r="Y135" s="27" t="n">
        <f aca="false">IF($A135="","",IFERROR(VLOOKUP(X135,Schichten!$A$5:$G$24,6,FALSE()),0))</f>
        <v>8</v>
      </c>
      <c r="Z135" s="27" t="n">
        <f aca="false">IF($A135="","",IFERROR(VLOOKUP(X135,Schichten!$A$5:$G$24,7,FALSE()),0))</f>
        <v>0</v>
      </c>
      <c r="AA135" s="28" t="n">
        <f aca="false">IF($A135="","",IF(N(Y135)=0,"",$A135+VLOOKUP(X135,Schichten!$A$5:$G$24,3,FALSE())))</f>
        <v>46518.5833333333</v>
      </c>
      <c r="AB135" s="28" t="n">
        <f aca="false">IF(AA135="","",$A135+VLOOKUP(X135,Schichten!$A$5:$G$24,4,FALSE())+IF(VLOOKUP(X135,Schichten!$A$5:$G$24,4,FALSE())&lt;=VLOOKUP(X135,Schichten!$A$5:$G$24,3,FALSE()),1,0))</f>
        <v>46518.9166666667</v>
      </c>
      <c r="AC135" s="28" t="n">
        <f aca="false">IF($A135="","",IF(N(Y134)&gt;0,AB134,AC134))</f>
        <v>46517.9166666667</v>
      </c>
      <c r="AD135" s="27" t="n">
        <f aca="false">IF(OR(AA135="",AC135=""),"",(AA135-AC135)*24)</f>
        <v>16</v>
      </c>
      <c r="AE135" s="21" t="n">
        <f aca="false">IF($A135="","",IF(N(Y135)&gt;0,N(AE134)+1,0))</f>
        <v>4</v>
      </c>
      <c r="AF135" s="21" t="n">
        <f aca="false">IF($A135="","",IF(N(Z135)&gt;0,N(AF134)+1,0))</f>
        <v>0</v>
      </c>
      <c r="AG135" s="21" t="str">
        <f aca="false">IF($A135="","",IF(WEEKDAY($A135,2)&lt;&gt;7,"",IF(AND(OR(AA135="",N(AA135)&gt;=$A135+16/24,N(AB135)&lt;=$A135+6/24),OR(AC135="",N(AC135)&lt;=$A135+6/24)),1,0)))</f>
        <v/>
      </c>
      <c r="AH135" s="26" t="str">
        <f aca="false">IF($A135="","",IF(INDEX(Muster!$C$9:$BF$9,1,MOD($A135-Einstellungen!$C$6,Einstellungen!$C$7)+1)="","-",INDEX(Muster!$C$9:$BF$9,1,MOD($A135-Einstellungen!$C$6,Einstellungen!$C$7)+1)))</f>
        <v>F</v>
      </c>
      <c r="AI135" s="27" t="n">
        <f aca="false">IF($A135="","",IFERROR(VLOOKUP(AH135,Schichten!$A$5:$G$24,6,FALSE()),0))</f>
        <v>8</v>
      </c>
      <c r="AJ135" s="27" t="n">
        <f aca="false">IF($A135="","",IFERROR(VLOOKUP(AH135,Schichten!$A$5:$G$24,7,FALSE()),0))</f>
        <v>0</v>
      </c>
      <c r="AK135" s="28" t="n">
        <f aca="false">IF($A135="","",IF(N(AI135)=0,"",$A135+VLOOKUP(AH135,Schichten!$A$5:$G$24,3,FALSE())))</f>
        <v>46518.25</v>
      </c>
      <c r="AL135" s="28" t="n">
        <f aca="false">IF(AK135="","",$A135+VLOOKUP(AH135,Schichten!$A$5:$G$24,4,FALSE())+IF(VLOOKUP(AH135,Schichten!$A$5:$G$24,4,FALSE())&lt;=VLOOKUP(AH135,Schichten!$A$5:$G$24,3,FALSE()),1,0))</f>
        <v>46518.5833333333</v>
      </c>
      <c r="AM135" s="28" t="n">
        <f aca="false">IF($A135="","",IF(N(AI134)&gt;0,AL134,AM134))</f>
        <v>46517.5833333333</v>
      </c>
      <c r="AN135" s="27" t="n">
        <f aca="false">IF(OR(AK135="",AM135=""),"",(AK135-AM135)*24)</f>
        <v>16</v>
      </c>
      <c r="AO135" s="21" t="n">
        <f aca="false">IF($A135="","",IF(N(AI135)&gt;0,N(AO134)+1,0))</f>
        <v>2</v>
      </c>
      <c r="AP135" s="21" t="n">
        <f aca="false">IF($A135="","",IF(N(AJ135)&gt;0,N(AP134)+1,0))</f>
        <v>0</v>
      </c>
      <c r="AQ135" s="21" t="str">
        <f aca="false">IF($A135="","",IF(WEEKDAY($A135,2)&lt;&gt;7,"",IF(AND(OR(AK135="",N(AK135)&gt;=$A135+16/24,N(AL135)&lt;=$A135+6/24),OR(AM135="",N(AM135)&lt;=$A135+6/24)),1,0)))</f>
        <v/>
      </c>
      <c r="AR135" s="26" t="str">
        <f aca="false">IF($A135="","",IF(INDEX(Muster!$C$10:$BF$10,1,MOD($A135-Einstellungen!$C$6,Einstellungen!$C$7)+1)="","-",INDEX(Muster!$C$10:$BF$10,1,MOD($A135-Einstellungen!$C$6,Einstellungen!$C$7)+1)))</f>
        <v>-</v>
      </c>
      <c r="AS135" s="27" t="n">
        <f aca="false">IF($A135="","",IFERROR(VLOOKUP(AR135,Schichten!$A$5:$G$24,6,FALSE()),0))</f>
        <v>0</v>
      </c>
      <c r="AT135" s="27" t="n">
        <f aca="false">IF($A135="","",IFERROR(VLOOKUP(AR135,Schichten!$A$5:$G$24,7,FALSE()),0))</f>
        <v>0</v>
      </c>
      <c r="AU135" s="28" t="str">
        <f aca="false">IF($A135="","",IF(N(AS135)=0,"",$A135+VLOOKUP(AR135,Schichten!$A$5:$G$24,3,FALSE())))</f>
        <v/>
      </c>
      <c r="AV135" s="28" t="str">
        <f aca="false">IF(AU135="","",$A135+VLOOKUP(AR135,Schichten!$A$5:$G$24,4,FALSE())+IF(VLOOKUP(AR135,Schichten!$A$5:$G$24,4,FALSE())&lt;=VLOOKUP(AR135,Schichten!$A$5:$G$24,3,FALSE()),1,0))</f>
        <v/>
      </c>
      <c r="AW135" s="28" t="str">
        <f aca="false">IF($A135="","",IF(N(AS134)&gt;0,AV134,AW134))</f>
        <v/>
      </c>
      <c r="AX135" s="27" t="str">
        <f aca="false">IF(OR(AU135="",AW135=""),"",(AU135-AW135)*24)</f>
        <v/>
      </c>
      <c r="AY135" s="21" t="n">
        <f aca="false">IF($A135="","",IF(N(AS135)&gt;0,N(AY134)+1,0))</f>
        <v>0</v>
      </c>
      <c r="AZ135" s="21" t="n">
        <f aca="false">IF($A135="","",IF(N(AT135)&gt;0,N(AZ134)+1,0))</f>
        <v>0</v>
      </c>
      <c r="BA135" s="21" t="str">
        <f aca="false">IF($A135="","",IF(WEEKDAY($A135,2)&lt;&gt;7,"",IF(AND(OR(AU135="",N(AU135)&gt;=$A135+16/24,N(AV135)&lt;=$A135+6/24),OR(AW135="",N(AW135)&lt;=$A135+6/24)),1,0)))</f>
        <v/>
      </c>
    </row>
    <row r="136" customFormat="false" ht="15" hidden="false" customHeight="false" outlineLevel="0" collapsed="false">
      <c r="A136" s="25" t="n">
        <f aca="false">IF(YEAR(DATE(Einstellungen!$C$4,1,1)+131)=Einstellungen!$C$4,DATE(Einstellungen!$C$4,1,1)+131,"")</f>
        <v>46519</v>
      </c>
      <c r="B136" s="26" t="str">
        <f aca="false">IF($A136="","",CHOOSE(WEEKDAY($A136,2),"Mo","Di","Mi","Do","Fr","Sa","So"))</f>
        <v>Mi</v>
      </c>
      <c r="C136" s="26" t="n">
        <f aca="false">IF($A136="","",MONTH($A136))</f>
        <v>5</v>
      </c>
      <c r="D136" s="26" t="str">
        <f aca="false">IF($A136="","",IF(INDEX(Muster!$C$6:$BF$6,1,MOD($A136-Einstellungen!$C$6,Einstellungen!$C$7)+1)="","-",INDEX(Muster!$C$6:$BF$6,1,MOD($A136-Einstellungen!$C$6,Einstellungen!$C$7)+1)))</f>
        <v>F</v>
      </c>
      <c r="E136" s="27" t="n">
        <f aca="false">IF($A136="","",IFERROR(VLOOKUP(D136,Schichten!$A$5:$G$24,6,FALSE()),0))</f>
        <v>8</v>
      </c>
      <c r="F136" s="27" t="n">
        <f aca="false">IF($A136="","",IFERROR(VLOOKUP(D136,Schichten!$A$5:$G$24,7,FALSE()),0))</f>
        <v>0</v>
      </c>
      <c r="G136" s="28" t="n">
        <f aca="false">IF($A136="","",IF(N(E136)=0,"",$A136+VLOOKUP(D136,Schichten!$A$5:$G$24,3,FALSE())))</f>
        <v>46519.25</v>
      </c>
      <c r="H136" s="28" t="n">
        <f aca="false">IF(G136="","",$A136+VLOOKUP(D136,Schichten!$A$5:$G$24,4,FALSE())+IF(VLOOKUP(D136,Schichten!$A$5:$G$24,4,FALSE())&lt;=VLOOKUP(D136,Schichten!$A$5:$G$24,3,FALSE()),1,0))</f>
        <v>46519.5833333333</v>
      </c>
      <c r="I136" s="28" t="n">
        <f aca="false">IF($A136="","",IF(N(E135)&gt;0,H135,I135))</f>
        <v>46517.25</v>
      </c>
      <c r="J136" s="27" t="n">
        <f aca="false">IF(OR(G136="",I136=""),"",(G136-I136)*24)</f>
        <v>48</v>
      </c>
      <c r="K136" s="21" t="n">
        <f aca="false">IF($A136="","",IF(N(E136)&gt;0,N(K135)+1,0))</f>
        <v>1</v>
      </c>
      <c r="L136" s="21" t="n">
        <f aca="false">IF($A136="","",IF(N(F136)&gt;0,N(L135)+1,0))</f>
        <v>0</v>
      </c>
      <c r="M136" s="21" t="str">
        <f aca="false">IF($A136="","",IF(WEEKDAY($A136,2)&lt;&gt;7,"",IF(AND(OR(G136="",N(G136)&gt;=$A136+16/24,N(H136)&lt;=$A136+6/24),OR(I136="",N(I136)&lt;=$A136+6/24)),1,0)))</f>
        <v/>
      </c>
      <c r="N136" s="26" t="str">
        <f aca="false">IF($A136="","",IF(INDEX(Muster!$C$7:$BF$7,1,MOD($A136-Einstellungen!$C$6,Einstellungen!$C$7)+1)="","-",INDEX(Muster!$C$7:$BF$7,1,MOD($A136-Einstellungen!$C$6,Einstellungen!$C$7)+1)))</f>
        <v>-</v>
      </c>
      <c r="O136" s="27" t="n">
        <f aca="false">IF($A136="","",IFERROR(VLOOKUP(N136,Schichten!$A$5:$G$24,6,FALSE()),0))</f>
        <v>0</v>
      </c>
      <c r="P136" s="27" t="n">
        <f aca="false">IF($A136="","",IFERROR(VLOOKUP(N136,Schichten!$A$5:$G$24,7,FALSE()),0))</f>
        <v>0</v>
      </c>
      <c r="Q136" s="28" t="str">
        <f aca="false">IF($A136="","",IF(N(O136)=0,"",$A136+VLOOKUP(N136,Schichten!$A$5:$G$24,3,FALSE())))</f>
        <v/>
      </c>
      <c r="R136" s="28" t="str">
        <f aca="false">IF(Q136="","",$A136+VLOOKUP(N136,Schichten!$A$5:$G$24,4,FALSE())+IF(VLOOKUP(N136,Schichten!$A$5:$G$24,4,FALSE())&lt;=VLOOKUP(N136,Schichten!$A$5:$G$24,3,FALSE()),1,0))</f>
        <v/>
      </c>
      <c r="S136" s="28" t="n">
        <f aca="false">IF($A136="","",IF(N(O135)&gt;0,R135,S135))</f>
        <v>46519.25</v>
      </c>
      <c r="T136" s="27" t="str">
        <f aca="false">IF(OR(Q136="",S136=""),"",(Q136-S136)*24)</f>
        <v/>
      </c>
      <c r="U136" s="21" t="n">
        <f aca="false">IF($A136="","",IF(N(O136)&gt;0,N(U135)+1,0))</f>
        <v>0</v>
      </c>
      <c r="V136" s="21" t="n">
        <f aca="false">IF($A136="","",IF(N(P136)&gt;0,N(V135)+1,0))</f>
        <v>0</v>
      </c>
      <c r="W136" s="21" t="str">
        <f aca="false">IF($A136="","",IF(WEEKDAY($A136,2)&lt;&gt;7,"",IF(AND(OR(Q136="",N(Q136)&gt;=$A136+16/24,N(R136)&lt;=$A136+6/24),OR(S136="",N(S136)&lt;=$A136+6/24)),1,0)))</f>
        <v/>
      </c>
      <c r="X136" s="26" t="str">
        <f aca="false">IF($A136="","",IF(INDEX(Muster!$C$8:$BF$8,1,MOD($A136-Einstellungen!$C$6,Einstellungen!$C$7)+1)="","-",INDEX(Muster!$C$8:$BF$8,1,MOD($A136-Einstellungen!$C$6,Einstellungen!$C$7)+1)))</f>
        <v>N</v>
      </c>
      <c r="Y136" s="27" t="n">
        <f aca="false">IF($A136="","",IFERROR(VLOOKUP(X136,Schichten!$A$5:$G$24,6,FALSE()),0))</f>
        <v>8</v>
      </c>
      <c r="Z136" s="27" t="n">
        <f aca="false">IF($A136="","",IFERROR(VLOOKUP(X136,Schichten!$A$5:$G$24,7,FALSE()),0))</f>
        <v>7</v>
      </c>
      <c r="AA136" s="28" t="n">
        <f aca="false">IF($A136="","",IF(N(Y136)=0,"",$A136+VLOOKUP(X136,Schichten!$A$5:$G$24,3,FALSE())))</f>
        <v>46519.9166666667</v>
      </c>
      <c r="AB136" s="28" t="n">
        <f aca="false">IF(AA136="","",$A136+VLOOKUP(X136,Schichten!$A$5:$G$24,4,FALSE())+IF(VLOOKUP(X136,Schichten!$A$5:$G$24,4,FALSE())&lt;=VLOOKUP(X136,Schichten!$A$5:$G$24,3,FALSE()),1,0))</f>
        <v>46520.25</v>
      </c>
      <c r="AC136" s="28" t="n">
        <f aca="false">IF($A136="","",IF(N(Y135)&gt;0,AB135,AC135))</f>
        <v>46518.9166666667</v>
      </c>
      <c r="AD136" s="27" t="n">
        <f aca="false">IF(OR(AA136="",AC136=""),"",(AA136-AC136)*24)</f>
        <v>24</v>
      </c>
      <c r="AE136" s="21" t="n">
        <f aca="false">IF($A136="","",IF(N(Y136)&gt;0,N(AE135)+1,0))</f>
        <v>5</v>
      </c>
      <c r="AF136" s="21" t="n">
        <f aca="false">IF($A136="","",IF(N(Z136)&gt;0,N(AF135)+1,0))</f>
        <v>1</v>
      </c>
      <c r="AG136" s="21" t="str">
        <f aca="false">IF($A136="","",IF(WEEKDAY($A136,2)&lt;&gt;7,"",IF(AND(OR(AA136="",N(AA136)&gt;=$A136+16/24,N(AB136)&lt;=$A136+6/24),OR(AC136="",N(AC136)&lt;=$A136+6/24)),1,0)))</f>
        <v/>
      </c>
      <c r="AH136" s="26" t="str">
        <f aca="false">IF($A136="","",IF(INDEX(Muster!$C$9:$BF$9,1,MOD($A136-Einstellungen!$C$6,Einstellungen!$C$7)+1)="","-",INDEX(Muster!$C$9:$BF$9,1,MOD($A136-Einstellungen!$C$6,Einstellungen!$C$7)+1)))</f>
        <v>S</v>
      </c>
      <c r="AI136" s="27" t="n">
        <f aca="false">IF($A136="","",IFERROR(VLOOKUP(AH136,Schichten!$A$5:$G$24,6,FALSE()),0))</f>
        <v>8</v>
      </c>
      <c r="AJ136" s="27" t="n">
        <f aca="false">IF($A136="","",IFERROR(VLOOKUP(AH136,Schichten!$A$5:$G$24,7,FALSE()),0))</f>
        <v>0</v>
      </c>
      <c r="AK136" s="28" t="n">
        <f aca="false">IF($A136="","",IF(N(AI136)=0,"",$A136+VLOOKUP(AH136,Schichten!$A$5:$G$24,3,FALSE())))</f>
        <v>46519.5833333333</v>
      </c>
      <c r="AL136" s="28" t="n">
        <f aca="false">IF(AK136="","",$A136+VLOOKUP(AH136,Schichten!$A$5:$G$24,4,FALSE())+IF(VLOOKUP(AH136,Schichten!$A$5:$G$24,4,FALSE())&lt;=VLOOKUP(AH136,Schichten!$A$5:$G$24,3,FALSE()),1,0))</f>
        <v>46519.9166666667</v>
      </c>
      <c r="AM136" s="28" t="n">
        <f aca="false">IF($A136="","",IF(N(AI135)&gt;0,AL135,AM135))</f>
        <v>46518.5833333333</v>
      </c>
      <c r="AN136" s="27" t="n">
        <f aca="false">IF(OR(AK136="",AM136=""),"",(AK136-AM136)*24)</f>
        <v>24</v>
      </c>
      <c r="AO136" s="21" t="n">
        <f aca="false">IF($A136="","",IF(N(AI136)&gt;0,N(AO135)+1,0))</f>
        <v>3</v>
      </c>
      <c r="AP136" s="21" t="n">
        <f aca="false">IF($A136="","",IF(N(AJ136)&gt;0,N(AP135)+1,0))</f>
        <v>0</v>
      </c>
      <c r="AQ136" s="21" t="str">
        <f aca="false">IF($A136="","",IF(WEEKDAY($A136,2)&lt;&gt;7,"",IF(AND(OR(AK136="",N(AK136)&gt;=$A136+16/24,N(AL136)&lt;=$A136+6/24),OR(AM136="",N(AM136)&lt;=$A136+6/24)),1,0)))</f>
        <v/>
      </c>
      <c r="AR136" s="26" t="str">
        <f aca="false">IF($A136="","",IF(INDEX(Muster!$C$10:$BF$10,1,MOD($A136-Einstellungen!$C$6,Einstellungen!$C$7)+1)="","-",INDEX(Muster!$C$10:$BF$10,1,MOD($A136-Einstellungen!$C$6,Einstellungen!$C$7)+1)))</f>
        <v>-</v>
      </c>
      <c r="AS136" s="27" t="n">
        <f aca="false">IF($A136="","",IFERROR(VLOOKUP(AR136,Schichten!$A$5:$G$24,6,FALSE()),0))</f>
        <v>0</v>
      </c>
      <c r="AT136" s="27" t="n">
        <f aca="false">IF($A136="","",IFERROR(VLOOKUP(AR136,Schichten!$A$5:$G$24,7,FALSE()),0))</f>
        <v>0</v>
      </c>
      <c r="AU136" s="28" t="str">
        <f aca="false">IF($A136="","",IF(N(AS136)=0,"",$A136+VLOOKUP(AR136,Schichten!$A$5:$G$24,3,FALSE())))</f>
        <v/>
      </c>
      <c r="AV136" s="28" t="str">
        <f aca="false">IF(AU136="","",$A136+VLOOKUP(AR136,Schichten!$A$5:$G$24,4,FALSE())+IF(VLOOKUP(AR136,Schichten!$A$5:$G$24,4,FALSE())&lt;=VLOOKUP(AR136,Schichten!$A$5:$G$24,3,FALSE()),1,0))</f>
        <v/>
      </c>
      <c r="AW136" s="28" t="str">
        <f aca="false">IF($A136="","",IF(N(AS135)&gt;0,AV135,AW135))</f>
        <v/>
      </c>
      <c r="AX136" s="27" t="str">
        <f aca="false">IF(OR(AU136="",AW136=""),"",(AU136-AW136)*24)</f>
        <v/>
      </c>
      <c r="AY136" s="21" t="n">
        <f aca="false">IF($A136="","",IF(N(AS136)&gt;0,N(AY135)+1,0))</f>
        <v>0</v>
      </c>
      <c r="AZ136" s="21" t="n">
        <f aca="false">IF($A136="","",IF(N(AT136)&gt;0,N(AZ135)+1,0))</f>
        <v>0</v>
      </c>
      <c r="BA136" s="21" t="str">
        <f aca="false">IF($A136="","",IF(WEEKDAY($A136,2)&lt;&gt;7,"",IF(AND(OR(AU136="",N(AU136)&gt;=$A136+16/24,N(AV136)&lt;=$A136+6/24),OR(AW136="",N(AW136)&lt;=$A136+6/24)),1,0)))</f>
        <v/>
      </c>
    </row>
    <row r="137" customFormat="false" ht="15" hidden="false" customHeight="false" outlineLevel="0" collapsed="false">
      <c r="A137" s="25" t="n">
        <f aca="false">IF(YEAR(DATE(Einstellungen!$C$4,1,1)+132)=Einstellungen!$C$4,DATE(Einstellungen!$C$4,1,1)+132,"")</f>
        <v>46520</v>
      </c>
      <c r="B137" s="26" t="str">
        <f aca="false">IF($A137="","",CHOOSE(WEEKDAY($A137,2),"Mo","Di","Mi","Do","Fr","Sa","So"))</f>
        <v>Do</v>
      </c>
      <c r="C137" s="26" t="n">
        <f aca="false">IF($A137="","",MONTH($A137))</f>
        <v>5</v>
      </c>
      <c r="D137" s="26" t="str">
        <f aca="false">IF($A137="","",IF(INDEX(Muster!$C$6:$BF$6,1,MOD($A137-Einstellungen!$C$6,Einstellungen!$C$7)+1)="","-",INDEX(Muster!$C$6:$BF$6,1,MOD($A137-Einstellungen!$C$6,Einstellungen!$C$7)+1)))</f>
        <v>F</v>
      </c>
      <c r="E137" s="27" t="n">
        <f aca="false">IF($A137="","",IFERROR(VLOOKUP(D137,Schichten!$A$5:$G$24,6,FALSE()),0))</f>
        <v>8</v>
      </c>
      <c r="F137" s="27" t="n">
        <f aca="false">IF($A137="","",IFERROR(VLOOKUP(D137,Schichten!$A$5:$G$24,7,FALSE()),0))</f>
        <v>0</v>
      </c>
      <c r="G137" s="28" t="n">
        <f aca="false">IF($A137="","",IF(N(E137)=0,"",$A137+VLOOKUP(D137,Schichten!$A$5:$G$24,3,FALSE())))</f>
        <v>46520.25</v>
      </c>
      <c r="H137" s="28" t="n">
        <f aca="false">IF(G137="","",$A137+VLOOKUP(D137,Schichten!$A$5:$G$24,4,FALSE())+IF(VLOOKUP(D137,Schichten!$A$5:$G$24,4,FALSE())&lt;=VLOOKUP(D137,Schichten!$A$5:$G$24,3,FALSE()),1,0))</f>
        <v>46520.5833333333</v>
      </c>
      <c r="I137" s="28" t="n">
        <f aca="false">IF($A137="","",IF(N(E136)&gt;0,H136,I136))</f>
        <v>46519.5833333333</v>
      </c>
      <c r="J137" s="27" t="n">
        <f aca="false">IF(OR(G137="",I137=""),"",(G137-I137)*24)</f>
        <v>16</v>
      </c>
      <c r="K137" s="21" t="n">
        <f aca="false">IF($A137="","",IF(N(E137)&gt;0,N(K136)+1,0))</f>
        <v>2</v>
      </c>
      <c r="L137" s="21" t="n">
        <f aca="false">IF($A137="","",IF(N(F137)&gt;0,N(L136)+1,0))</f>
        <v>0</v>
      </c>
      <c r="M137" s="21" t="str">
        <f aca="false">IF($A137="","",IF(WEEKDAY($A137,2)&lt;&gt;7,"",IF(AND(OR(G137="",N(G137)&gt;=$A137+16/24,N(H137)&lt;=$A137+6/24),OR(I137="",N(I137)&lt;=$A137+6/24)),1,0)))</f>
        <v/>
      </c>
      <c r="N137" s="26" t="str">
        <f aca="false">IF($A137="","",IF(INDEX(Muster!$C$7:$BF$7,1,MOD($A137-Einstellungen!$C$6,Einstellungen!$C$7)+1)="","-",INDEX(Muster!$C$7:$BF$7,1,MOD($A137-Einstellungen!$C$6,Einstellungen!$C$7)+1)))</f>
        <v>-</v>
      </c>
      <c r="O137" s="27" t="n">
        <f aca="false">IF($A137="","",IFERROR(VLOOKUP(N137,Schichten!$A$5:$G$24,6,FALSE()),0))</f>
        <v>0</v>
      </c>
      <c r="P137" s="27" t="n">
        <f aca="false">IF($A137="","",IFERROR(VLOOKUP(N137,Schichten!$A$5:$G$24,7,FALSE()),0))</f>
        <v>0</v>
      </c>
      <c r="Q137" s="28" t="str">
        <f aca="false">IF($A137="","",IF(N(O137)=0,"",$A137+VLOOKUP(N137,Schichten!$A$5:$G$24,3,FALSE())))</f>
        <v/>
      </c>
      <c r="R137" s="28" t="str">
        <f aca="false">IF(Q137="","",$A137+VLOOKUP(N137,Schichten!$A$5:$G$24,4,FALSE())+IF(VLOOKUP(N137,Schichten!$A$5:$G$24,4,FALSE())&lt;=VLOOKUP(N137,Schichten!$A$5:$G$24,3,FALSE()),1,0))</f>
        <v/>
      </c>
      <c r="S137" s="28" t="n">
        <f aca="false">IF($A137="","",IF(N(O136)&gt;0,R136,S136))</f>
        <v>46519.25</v>
      </c>
      <c r="T137" s="27" t="str">
        <f aca="false">IF(OR(Q137="",S137=""),"",(Q137-S137)*24)</f>
        <v/>
      </c>
      <c r="U137" s="21" t="n">
        <f aca="false">IF($A137="","",IF(N(O137)&gt;0,N(U136)+1,0))</f>
        <v>0</v>
      </c>
      <c r="V137" s="21" t="n">
        <f aca="false">IF($A137="","",IF(N(P137)&gt;0,N(V136)+1,0))</f>
        <v>0</v>
      </c>
      <c r="W137" s="21" t="str">
        <f aca="false">IF($A137="","",IF(WEEKDAY($A137,2)&lt;&gt;7,"",IF(AND(OR(Q137="",N(Q137)&gt;=$A137+16/24,N(R137)&lt;=$A137+6/24),OR(S137="",N(S137)&lt;=$A137+6/24)),1,0)))</f>
        <v/>
      </c>
      <c r="X137" s="26" t="str">
        <f aca="false">IF($A137="","",IF(INDEX(Muster!$C$8:$BF$8,1,MOD($A137-Einstellungen!$C$6,Einstellungen!$C$7)+1)="","-",INDEX(Muster!$C$8:$BF$8,1,MOD($A137-Einstellungen!$C$6,Einstellungen!$C$7)+1)))</f>
        <v>N</v>
      </c>
      <c r="Y137" s="27" t="n">
        <f aca="false">IF($A137="","",IFERROR(VLOOKUP(X137,Schichten!$A$5:$G$24,6,FALSE()),0))</f>
        <v>8</v>
      </c>
      <c r="Z137" s="27" t="n">
        <f aca="false">IF($A137="","",IFERROR(VLOOKUP(X137,Schichten!$A$5:$G$24,7,FALSE()),0))</f>
        <v>7</v>
      </c>
      <c r="AA137" s="28" t="n">
        <f aca="false">IF($A137="","",IF(N(Y137)=0,"",$A137+VLOOKUP(X137,Schichten!$A$5:$G$24,3,FALSE())))</f>
        <v>46520.9166666667</v>
      </c>
      <c r="AB137" s="28" t="n">
        <f aca="false">IF(AA137="","",$A137+VLOOKUP(X137,Schichten!$A$5:$G$24,4,FALSE())+IF(VLOOKUP(X137,Schichten!$A$5:$G$24,4,FALSE())&lt;=VLOOKUP(X137,Schichten!$A$5:$G$24,3,FALSE()),1,0))</f>
        <v>46521.25</v>
      </c>
      <c r="AC137" s="28" t="n">
        <f aca="false">IF($A137="","",IF(N(Y136)&gt;0,AB136,AC136))</f>
        <v>46520.25</v>
      </c>
      <c r="AD137" s="27" t="n">
        <f aca="false">IF(OR(AA137="",AC137=""),"",(AA137-AC137)*24)</f>
        <v>16</v>
      </c>
      <c r="AE137" s="21" t="n">
        <f aca="false">IF($A137="","",IF(N(Y137)&gt;0,N(AE136)+1,0))</f>
        <v>6</v>
      </c>
      <c r="AF137" s="21" t="n">
        <f aca="false">IF($A137="","",IF(N(Z137)&gt;0,N(AF136)+1,0))</f>
        <v>2</v>
      </c>
      <c r="AG137" s="21" t="str">
        <f aca="false">IF($A137="","",IF(WEEKDAY($A137,2)&lt;&gt;7,"",IF(AND(OR(AA137="",N(AA137)&gt;=$A137+16/24,N(AB137)&lt;=$A137+6/24),OR(AC137="",N(AC137)&lt;=$A137+6/24)),1,0)))</f>
        <v/>
      </c>
      <c r="AH137" s="26" t="str">
        <f aca="false">IF($A137="","",IF(INDEX(Muster!$C$9:$BF$9,1,MOD($A137-Einstellungen!$C$6,Einstellungen!$C$7)+1)="","-",INDEX(Muster!$C$9:$BF$9,1,MOD($A137-Einstellungen!$C$6,Einstellungen!$C$7)+1)))</f>
        <v>S</v>
      </c>
      <c r="AI137" s="27" t="n">
        <f aca="false">IF($A137="","",IFERROR(VLOOKUP(AH137,Schichten!$A$5:$G$24,6,FALSE()),0))</f>
        <v>8</v>
      </c>
      <c r="AJ137" s="27" t="n">
        <f aca="false">IF($A137="","",IFERROR(VLOOKUP(AH137,Schichten!$A$5:$G$24,7,FALSE()),0))</f>
        <v>0</v>
      </c>
      <c r="AK137" s="28" t="n">
        <f aca="false">IF($A137="","",IF(N(AI137)=0,"",$A137+VLOOKUP(AH137,Schichten!$A$5:$G$24,3,FALSE())))</f>
        <v>46520.5833333333</v>
      </c>
      <c r="AL137" s="28" t="n">
        <f aca="false">IF(AK137="","",$A137+VLOOKUP(AH137,Schichten!$A$5:$G$24,4,FALSE())+IF(VLOOKUP(AH137,Schichten!$A$5:$G$24,4,FALSE())&lt;=VLOOKUP(AH137,Schichten!$A$5:$G$24,3,FALSE()),1,0))</f>
        <v>46520.9166666667</v>
      </c>
      <c r="AM137" s="28" t="n">
        <f aca="false">IF($A137="","",IF(N(AI136)&gt;0,AL136,AM136))</f>
        <v>46519.9166666667</v>
      </c>
      <c r="AN137" s="27" t="n">
        <f aca="false">IF(OR(AK137="",AM137=""),"",(AK137-AM137)*24)</f>
        <v>16</v>
      </c>
      <c r="AO137" s="21" t="n">
        <f aca="false">IF($A137="","",IF(N(AI137)&gt;0,N(AO136)+1,0))</f>
        <v>4</v>
      </c>
      <c r="AP137" s="21" t="n">
        <f aca="false">IF($A137="","",IF(N(AJ137)&gt;0,N(AP136)+1,0))</f>
        <v>0</v>
      </c>
      <c r="AQ137" s="21" t="str">
        <f aca="false">IF($A137="","",IF(WEEKDAY($A137,2)&lt;&gt;7,"",IF(AND(OR(AK137="",N(AK137)&gt;=$A137+16/24,N(AL137)&lt;=$A137+6/24),OR(AM137="",N(AM137)&lt;=$A137+6/24)),1,0)))</f>
        <v/>
      </c>
      <c r="AR137" s="26" t="str">
        <f aca="false">IF($A137="","",IF(INDEX(Muster!$C$10:$BF$10,1,MOD($A137-Einstellungen!$C$6,Einstellungen!$C$7)+1)="","-",INDEX(Muster!$C$10:$BF$10,1,MOD($A137-Einstellungen!$C$6,Einstellungen!$C$7)+1)))</f>
        <v>-</v>
      </c>
      <c r="AS137" s="27" t="n">
        <f aca="false">IF($A137="","",IFERROR(VLOOKUP(AR137,Schichten!$A$5:$G$24,6,FALSE()),0))</f>
        <v>0</v>
      </c>
      <c r="AT137" s="27" t="n">
        <f aca="false">IF($A137="","",IFERROR(VLOOKUP(AR137,Schichten!$A$5:$G$24,7,FALSE()),0))</f>
        <v>0</v>
      </c>
      <c r="AU137" s="28" t="str">
        <f aca="false">IF($A137="","",IF(N(AS137)=0,"",$A137+VLOOKUP(AR137,Schichten!$A$5:$G$24,3,FALSE())))</f>
        <v/>
      </c>
      <c r="AV137" s="28" t="str">
        <f aca="false">IF(AU137="","",$A137+VLOOKUP(AR137,Schichten!$A$5:$G$24,4,FALSE())+IF(VLOOKUP(AR137,Schichten!$A$5:$G$24,4,FALSE())&lt;=VLOOKUP(AR137,Schichten!$A$5:$G$24,3,FALSE()),1,0))</f>
        <v/>
      </c>
      <c r="AW137" s="28" t="str">
        <f aca="false">IF($A137="","",IF(N(AS136)&gt;0,AV136,AW136))</f>
        <v/>
      </c>
      <c r="AX137" s="27" t="str">
        <f aca="false">IF(OR(AU137="",AW137=""),"",(AU137-AW137)*24)</f>
        <v/>
      </c>
      <c r="AY137" s="21" t="n">
        <f aca="false">IF($A137="","",IF(N(AS137)&gt;0,N(AY136)+1,0))</f>
        <v>0</v>
      </c>
      <c r="AZ137" s="21" t="n">
        <f aca="false">IF($A137="","",IF(N(AT137)&gt;0,N(AZ136)+1,0))</f>
        <v>0</v>
      </c>
      <c r="BA137" s="21" t="str">
        <f aca="false">IF($A137="","",IF(WEEKDAY($A137,2)&lt;&gt;7,"",IF(AND(OR(AU137="",N(AU137)&gt;=$A137+16/24,N(AV137)&lt;=$A137+6/24),OR(AW137="",N(AW137)&lt;=$A137+6/24)),1,0)))</f>
        <v/>
      </c>
    </row>
    <row r="138" customFormat="false" ht="15" hidden="false" customHeight="false" outlineLevel="0" collapsed="false">
      <c r="A138" s="25" t="n">
        <f aca="false">IF(YEAR(DATE(Einstellungen!$C$4,1,1)+133)=Einstellungen!$C$4,DATE(Einstellungen!$C$4,1,1)+133,"")</f>
        <v>46521</v>
      </c>
      <c r="B138" s="26" t="str">
        <f aca="false">IF($A138="","",CHOOSE(WEEKDAY($A138,2),"Mo","Di","Mi","Do","Fr","Sa","So"))</f>
        <v>Fr</v>
      </c>
      <c r="C138" s="26" t="n">
        <f aca="false">IF($A138="","",MONTH($A138))</f>
        <v>5</v>
      </c>
      <c r="D138" s="26" t="str">
        <f aca="false">IF($A138="","",IF(INDEX(Muster!$C$6:$BF$6,1,MOD($A138-Einstellungen!$C$6,Einstellungen!$C$7)+1)="","-",INDEX(Muster!$C$6:$BF$6,1,MOD($A138-Einstellungen!$C$6,Einstellungen!$C$7)+1)))</f>
        <v>S</v>
      </c>
      <c r="E138" s="27" t="n">
        <f aca="false">IF($A138="","",IFERROR(VLOOKUP(D138,Schichten!$A$5:$G$24,6,FALSE()),0))</f>
        <v>8</v>
      </c>
      <c r="F138" s="27" t="n">
        <f aca="false">IF($A138="","",IFERROR(VLOOKUP(D138,Schichten!$A$5:$G$24,7,FALSE()),0))</f>
        <v>0</v>
      </c>
      <c r="G138" s="28" t="n">
        <f aca="false">IF($A138="","",IF(N(E138)=0,"",$A138+VLOOKUP(D138,Schichten!$A$5:$G$24,3,FALSE())))</f>
        <v>46521.5833333333</v>
      </c>
      <c r="H138" s="28" t="n">
        <f aca="false">IF(G138="","",$A138+VLOOKUP(D138,Schichten!$A$5:$G$24,4,FALSE())+IF(VLOOKUP(D138,Schichten!$A$5:$G$24,4,FALSE())&lt;=VLOOKUP(D138,Schichten!$A$5:$G$24,3,FALSE()),1,0))</f>
        <v>46521.9166666667</v>
      </c>
      <c r="I138" s="28" t="n">
        <f aca="false">IF($A138="","",IF(N(E137)&gt;0,H137,I137))</f>
        <v>46520.5833333333</v>
      </c>
      <c r="J138" s="27" t="n">
        <f aca="false">IF(OR(G138="",I138=""),"",(G138-I138)*24)</f>
        <v>24</v>
      </c>
      <c r="K138" s="21" t="n">
        <f aca="false">IF($A138="","",IF(N(E138)&gt;0,N(K137)+1,0))</f>
        <v>3</v>
      </c>
      <c r="L138" s="21" t="n">
        <f aca="false">IF($A138="","",IF(N(F138)&gt;0,N(L137)+1,0))</f>
        <v>0</v>
      </c>
      <c r="M138" s="21" t="str">
        <f aca="false">IF($A138="","",IF(WEEKDAY($A138,2)&lt;&gt;7,"",IF(AND(OR(G138="",N(G138)&gt;=$A138+16/24,N(H138)&lt;=$A138+6/24),OR(I138="",N(I138)&lt;=$A138+6/24)),1,0)))</f>
        <v/>
      </c>
      <c r="N138" s="26" t="str">
        <f aca="false">IF($A138="","",IF(INDEX(Muster!$C$7:$BF$7,1,MOD($A138-Einstellungen!$C$6,Einstellungen!$C$7)+1)="","-",INDEX(Muster!$C$7:$BF$7,1,MOD($A138-Einstellungen!$C$6,Einstellungen!$C$7)+1)))</f>
        <v>F</v>
      </c>
      <c r="O138" s="27" t="n">
        <f aca="false">IF($A138="","",IFERROR(VLOOKUP(N138,Schichten!$A$5:$G$24,6,FALSE()),0))</f>
        <v>8</v>
      </c>
      <c r="P138" s="27" t="n">
        <f aca="false">IF($A138="","",IFERROR(VLOOKUP(N138,Schichten!$A$5:$G$24,7,FALSE()),0))</f>
        <v>0</v>
      </c>
      <c r="Q138" s="28" t="n">
        <f aca="false">IF($A138="","",IF(N(O138)=0,"",$A138+VLOOKUP(N138,Schichten!$A$5:$G$24,3,FALSE())))</f>
        <v>46521.25</v>
      </c>
      <c r="R138" s="28" t="n">
        <f aca="false">IF(Q138="","",$A138+VLOOKUP(N138,Schichten!$A$5:$G$24,4,FALSE())+IF(VLOOKUP(N138,Schichten!$A$5:$G$24,4,FALSE())&lt;=VLOOKUP(N138,Schichten!$A$5:$G$24,3,FALSE()),1,0))</f>
        <v>46521.5833333333</v>
      </c>
      <c r="S138" s="28" t="n">
        <f aca="false">IF($A138="","",IF(N(O137)&gt;0,R137,S137))</f>
        <v>46519.25</v>
      </c>
      <c r="T138" s="27" t="n">
        <f aca="false">IF(OR(Q138="",S138=""),"",(Q138-S138)*24)</f>
        <v>48</v>
      </c>
      <c r="U138" s="21" t="n">
        <f aca="false">IF($A138="","",IF(N(O138)&gt;0,N(U137)+1,0))</f>
        <v>1</v>
      </c>
      <c r="V138" s="21" t="n">
        <f aca="false">IF($A138="","",IF(N(P138)&gt;0,N(V137)+1,0))</f>
        <v>0</v>
      </c>
      <c r="W138" s="21" t="str">
        <f aca="false">IF($A138="","",IF(WEEKDAY($A138,2)&lt;&gt;7,"",IF(AND(OR(Q138="",N(Q138)&gt;=$A138+16/24,N(R138)&lt;=$A138+6/24),OR(S138="",N(S138)&lt;=$A138+6/24)),1,0)))</f>
        <v/>
      </c>
      <c r="X138" s="26" t="str">
        <f aca="false">IF($A138="","",IF(INDEX(Muster!$C$8:$BF$8,1,MOD($A138-Einstellungen!$C$6,Einstellungen!$C$7)+1)="","-",INDEX(Muster!$C$8:$BF$8,1,MOD($A138-Einstellungen!$C$6,Einstellungen!$C$7)+1)))</f>
        <v>-</v>
      </c>
      <c r="Y138" s="27" t="n">
        <f aca="false">IF($A138="","",IFERROR(VLOOKUP(X138,Schichten!$A$5:$G$24,6,FALSE()),0))</f>
        <v>0</v>
      </c>
      <c r="Z138" s="27" t="n">
        <f aca="false">IF($A138="","",IFERROR(VLOOKUP(X138,Schichten!$A$5:$G$24,7,FALSE()),0))</f>
        <v>0</v>
      </c>
      <c r="AA138" s="28" t="str">
        <f aca="false">IF($A138="","",IF(N(Y138)=0,"",$A138+VLOOKUP(X138,Schichten!$A$5:$G$24,3,FALSE())))</f>
        <v/>
      </c>
      <c r="AB138" s="28" t="str">
        <f aca="false">IF(AA138="","",$A138+VLOOKUP(X138,Schichten!$A$5:$G$24,4,FALSE())+IF(VLOOKUP(X138,Schichten!$A$5:$G$24,4,FALSE())&lt;=VLOOKUP(X138,Schichten!$A$5:$G$24,3,FALSE()),1,0))</f>
        <v/>
      </c>
      <c r="AC138" s="28" t="n">
        <f aca="false">IF($A138="","",IF(N(Y137)&gt;0,AB137,AC137))</f>
        <v>46521.25</v>
      </c>
      <c r="AD138" s="27" t="str">
        <f aca="false">IF(OR(AA138="",AC138=""),"",(AA138-AC138)*24)</f>
        <v/>
      </c>
      <c r="AE138" s="21" t="n">
        <f aca="false">IF($A138="","",IF(N(Y138)&gt;0,N(AE137)+1,0))</f>
        <v>0</v>
      </c>
      <c r="AF138" s="21" t="n">
        <f aca="false">IF($A138="","",IF(N(Z138)&gt;0,N(AF137)+1,0))</f>
        <v>0</v>
      </c>
      <c r="AG138" s="21" t="str">
        <f aca="false">IF($A138="","",IF(WEEKDAY($A138,2)&lt;&gt;7,"",IF(AND(OR(AA138="",N(AA138)&gt;=$A138+16/24,N(AB138)&lt;=$A138+6/24),OR(AC138="",N(AC138)&lt;=$A138+6/24)),1,0)))</f>
        <v/>
      </c>
      <c r="AH138" s="26" t="str">
        <f aca="false">IF($A138="","",IF(INDEX(Muster!$C$9:$BF$9,1,MOD($A138-Einstellungen!$C$6,Einstellungen!$C$7)+1)="","-",INDEX(Muster!$C$9:$BF$9,1,MOD($A138-Einstellungen!$C$6,Einstellungen!$C$7)+1)))</f>
        <v>N</v>
      </c>
      <c r="AI138" s="27" t="n">
        <f aca="false">IF($A138="","",IFERROR(VLOOKUP(AH138,Schichten!$A$5:$G$24,6,FALSE()),0))</f>
        <v>8</v>
      </c>
      <c r="AJ138" s="27" t="n">
        <f aca="false">IF($A138="","",IFERROR(VLOOKUP(AH138,Schichten!$A$5:$G$24,7,FALSE()),0))</f>
        <v>7</v>
      </c>
      <c r="AK138" s="28" t="n">
        <f aca="false">IF($A138="","",IF(N(AI138)=0,"",$A138+VLOOKUP(AH138,Schichten!$A$5:$G$24,3,FALSE())))</f>
        <v>46521.9166666667</v>
      </c>
      <c r="AL138" s="28" t="n">
        <f aca="false">IF(AK138="","",$A138+VLOOKUP(AH138,Schichten!$A$5:$G$24,4,FALSE())+IF(VLOOKUP(AH138,Schichten!$A$5:$G$24,4,FALSE())&lt;=VLOOKUP(AH138,Schichten!$A$5:$G$24,3,FALSE()),1,0))</f>
        <v>46522.25</v>
      </c>
      <c r="AM138" s="28" t="n">
        <f aca="false">IF($A138="","",IF(N(AI137)&gt;0,AL137,AM137))</f>
        <v>46520.9166666667</v>
      </c>
      <c r="AN138" s="27" t="n">
        <f aca="false">IF(OR(AK138="",AM138=""),"",(AK138-AM138)*24)</f>
        <v>24</v>
      </c>
      <c r="AO138" s="21" t="n">
        <f aca="false">IF($A138="","",IF(N(AI138)&gt;0,N(AO137)+1,0))</f>
        <v>5</v>
      </c>
      <c r="AP138" s="21" t="n">
        <f aca="false">IF($A138="","",IF(N(AJ138)&gt;0,N(AP137)+1,0))</f>
        <v>1</v>
      </c>
      <c r="AQ138" s="21" t="str">
        <f aca="false">IF($A138="","",IF(WEEKDAY($A138,2)&lt;&gt;7,"",IF(AND(OR(AK138="",N(AK138)&gt;=$A138+16/24,N(AL138)&lt;=$A138+6/24),OR(AM138="",N(AM138)&lt;=$A138+6/24)),1,0)))</f>
        <v/>
      </c>
      <c r="AR138" s="26" t="str">
        <f aca="false">IF($A138="","",IF(INDEX(Muster!$C$10:$BF$10,1,MOD($A138-Einstellungen!$C$6,Einstellungen!$C$7)+1)="","-",INDEX(Muster!$C$10:$BF$10,1,MOD($A138-Einstellungen!$C$6,Einstellungen!$C$7)+1)))</f>
        <v>-</v>
      </c>
      <c r="AS138" s="27" t="n">
        <f aca="false">IF($A138="","",IFERROR(VLOOKUP(AR138,Schichten!$A$5:$G$24,6,FALSE()),0))</f>
        <v>0</v>
      </c>
      <c r="AT138" s="27" t="n">
        <f aca="false">IF($A138="","",IFERROR(VLOOKUP(AR138,Schichten!$A$5:$G$24,7,FALSE()),0))</f>
        <v>0</v>
      </c>
      <c r="AU138" s="28" t="str">
        <f aca="false">IF($A138="","",IF(N(AS138)=0,"",$A138+VLOOKUP(AR138,Schichten!$A$5:$G$24,3,FALSE())))</f>
        <v/>
      </c>
      <c r="AV138" s="28" t="str">
        <f aca="false">IF(AU138="","",$A138+VLOOKUP(AR138,Schichten!$A$5:$G$24,4,FALSE())+IF(VLOOKUP(AR138,Schichten!$A$5:$G$24,4,FALSE())&lt;=VLOOKUP(AR138,Schichten!$A$5:$G$24,3,FALSE()),1,0))</f>
        <v/>
      </c>
      <c r="AW138" s="28" t="str">
        <f aca="false">IF($A138="","",IF(N(AS137)&gt;0,AV137,AW137))</f>
        <v/>
      </c>
      <c r="AX138" s="27" t="str">
        <f aca="false">IF(OR(AU138="",AW138=""),"",(AU138-AW138)*24)</f>
        <v/>
      </c>
      <c r="AY138" s="21" t="n">
        <f aca="false">IF($A138="","",IF(N(AS138)&gt;0,N(AY137)+1,0))</f>
        <v>0</v>
      </c>
      <c r="AZ138" s="21" t="n">
        <f aca="false">IF($A138="","",IF(N(AT138)&gt;0,N(AZ137)+1,0))</f>
        <v>0</v>
      </c>
      <c r="BA138" s="21" t="str">
        <f aca="false">IF($A138="","",IF(WEEKDAY($A138,2)&lt;&gt;7,"",IF(AND(OR(AU138="",N(AU138)&gt;=$A138+16/24,N(AV138)&lt;=$A138+6/24),OR(AW138="",N(AW138)&lt;=$A138+6/24)),1,0)))</f>
        <v/>
      </c>
    </row>
    <row r="139" customFormat="false" ht="15" hidden="false" customHeight="false" outlineLevel="0" collapsed="false">
      <c r="A139" s="25" t="n">
        <f aca="false">IF(YEAR(DATE(Einstellungen!$C$4,1,1)+134)=Einstellungen!$C$4,DATE(Einstellungen!$C$4,1,1)+134,"")</f>
        <v>46522</v>
      </c>
      <c r="B139" s="26" t="str">
        <f aca="false">IF($A139="","",CHOOSE(WEEKDAY($A139,2),"Mo","Di","Mi","Do","Fr","Sa","So"))</f>
        <v>Sa</v>
      </c>
      <c r="C139" s="26" t="n">
        <f aca="false">IF($A139="","",MONTH($A139))</f>
        <v>5</v>
      </c>
      <c r="D139" s="26" t="str">
        <f aca="false">IF($A139="","",IF(INDEX(Muster!$C$6:$BF$6,1,MOD($A139-Einstellungen!$C$6,Einstellungen!$C$7)+1)="","-",INDEX(Muster!$C$6:$BF$6,1,MOD($A139-Einstellungen!$C$6,Einstellungen!$C$7)+1)))</f>
        <v>S</v>
      </c>
      <c r="E139" s="27" t="n">
        <f aca="false">IF($A139="","",IFERROR(VLOOKUP(D139,Schichten!$A$5:$G$24,6,FALSE()),0))</f>
        <v>8</v>
      </c>
      <c r="F139" s="27" t="n">
        <f aca="false">IF($A139="","",IFERROR(VLOOKUP(D139,Schichten!$A$5:$G$24,7,FALSE()),0))</f>
        <v>0</v>
      </c>
      <c r="G139" s="28" t="n">
        <f aca="false">IF($A139="","",IF(N(E139)=0,"",$A139+VLOOKUP(D139,Schichten!$A$5:$G$24,3,FALSE())))</f>
        <v>46522.5833333333</v>
      </c>
      <c r="H139" s="28" t="n">
        <f aca="false">IF(G139="","",$A139+VLOOKUP(D139,Schichten!$A$5:$G$24,4,FALSE())+IF(VLOOKUP(D139,Schichten!$A$5:$G$24,4,FALSE())&lt;=VLOOKUP(D139,Schichten!$A$5:$G$24,3,FALSE()),1,0))</f>
        <v>46522.9166666667</v>
      </c>
      <c r="I139" s="28" t="n">
        <f aca="false">IF($A139="","",IF(N(E138)&gt;0,H138,I138))</f>
        <v>46521.9166666667</v>
      </c>
      <c r="J139" s="27" t="n">
        <f aca="false">IF(OR(G139="",I139=""),"",(G139-I139)*24)</f>
        <v>16</v>
      </c>
      <c r="K139" s="21" t="n">
        <f aca="false">IF($A139="","",IF(N(E139)&gt;0,N(K138)+1,0))</f>
        <v>4</v>
      </c>
      <c r="L139" s="21" t="n">
        <f aca="false">IF($A139="","",IF(N(F139)&gt;0,N(L138)+1,0))</f>
        <v>0</v>
      </c>
      <c r="M139" s="21" t="str">
        <f aca="false">IF($A139="","",IF(WEEKDAY($A139,2)&lt;&gt;7,"",IF(AND(OR(G139="",N(G139)&gt;=$A139+16/24,N(H139)&lt;=$A139+6/24),OR(I139="",N(I139)&lt;=$A139+6/24)),1,0)))</f>
        <v/>
      </c>
      <c r="N139" s="26" t="str">
        <f aca="false">IF($A139="","",IF(INDEX(Muster!$C$7:$BF$7,1,MOD($A139-Einstellungen!$C$6,Einstellungen!$C$7)+1)="","-",INDEX(Muster!$C$7:$BF$7,1,MOD($A139-Einstellungen!$C$6,Einstellungen!$C$7)+1)))</f>
        <v>F</v>
      </c>
      <c r="O139" s="27" t="n">
        <f aca="false">IF($A139="","",IFERROR(VLOOKUP(N139,Schichten!$A$5:$G$24,6,FALSE()),0))</f>
        <v>8</v>
      </c>
      <c r="P139" s="27" t="n">
        <f aca="false">IF($A139="","",IFERROR(VLOOKUP(N139,Schichten!$A$5:$G$24,7,FALSE()),0))</f>
        <v>0</v>
      </c>
      <c r="Q139" s="28" t="n">
        <f aca="false">IF($A139="","",IF(N(O139)=0,"",$A139+VLOOKUP(N139,Schichten!$A$5:$G$24,3,FALSE())))</f>
        <v>46522.25</v>
      </c>
      <c r="R139" s="28" t="n">
        <f aca="false">IF(Q139="","",$A139+VLOOKUP(N139,Schichten!$A$5:$G$24,4,FALSE())+IF(VLOOKUP(N139,Schichten!$A$5:$G$24,4,FALSE())&lt;=VLOOKUP(N139,Schichten!$A$5:$G$24,3,FALSE()),1,0))</f>
        <v>46522.5833333333</v>
      </c>
      <c r="S139" s="28" t="n">
        <f aca="false">IF($A139="","",IF(N(O138)&gt;0,R138,S138))</f>
        <v>46521.5833333333</v>
      </c>
      <c r="T139" s="27" t="n">
        <f aca="false">IF(OR(Q139="",S139=""),"",(Q139-S139)*24)</f>
        <v>16</v>
      </c>
      <c r="U139" s="21" t="n">
        <f aca="false">IF($A139="","",IF(N(O139)&gt;0,N(U138)+1,0))</f>
        <v>2</v>
      </c>
      <c r="V139" s="21" t="n">
        <f aca="false">IF($A139="","",IF(N(P139)&gt;0,N(V138)+1,0))</f>
        <v>0</v>
      </c>
      <c r="W139" s="21" t="str">
        <f aca="false">IF($A139="","",IF(WEEKDAY($A139,2)&lt;&gt;7,"",IF(AND(OR(Q139="",N(Q139)&gt;=$A139+16/24,N(R139)&lt;=$A139+6/24),OR(S139="",N(S139)&lt;=$A139+6/24)),1,0)))</f>
        <v/>
      </c>
      <c r="X139" s="26" t="str">
        <f aca="false">IF($A139="","",IF(INDEX(Muster!$C$8:$BF$8,1,MOD($A139-Einstellungen!$C$6,Einstellungen!$C$7)+1)="","-",INDEX(Muster!$C$8:$BF$8,1,MOD($A139-Einstellungen!$C$6,Einstellungen!$C$7)+1)))</f>
        <v>-</v>
      </c>
      <c r="Y139" s="27" t="n">
        <f aca="false">IF($A139="","",IFERROR(VLOOKUP(X139,Schichten!$A$5:$G$24,6,FALSE()),0))</f>
        <v>0</v>
      </c>
      <c r="Z139" s="27" t="n">
        <f aca="false">IF($A139="","",IFERROR(VLOOKUP(X139,Schichten!$A$5:$G$24,7,FALSE()),0))</f>
        <v>0</v>
      </c>
      <c r="AA139" s="28" t="str">
        <f aca="false">IF($A139="","",IF(N(Y139)=0,"",$A139+VLOOKUP(X139,Schichten!$A$5:$G$24,3,FALSE())))</f>
        <v/>
      </c>
      <c r="AB139" s="28" t="str">
        <f aca="false">IF(AA139="","",$A139+VLOOKUP(X139,Schichten!$A$5:$G$24,4,FALSE())+IF(VLOOKUP(X139,Schichten!$A$5:$G$24,4,FALSE())&lt;=VLOOKUP(X139,Schichten!$A$5:$G$24,3,FALSE()),1,0))</f>
        <v/>
      </c>
      <c r="AC139" s="28" t="n">
        <f aca="false">IF($A139="","",IF(N(Y138)&gt;0,AB138,AC138))</f>
        <v>46521.25</v>
      </c>
      <c r="AD139" s="27" t="str">
        <f aca="false">IF(OR(AA139="",AC139=""),"",(AA139-AC139)*24)</f>
        <v/>
      </c>
      <c r="AE139" s="21" t="n">
        <f aca="false">IF($A139="","",IF(N(Y139)&gt;0,N(AE138)+1,0))</f>
        <v>0</v>
      </c>
      <c r="AF139" s="21" t="n">
        <f aca="false">IF($A139="","",IF(N(Z139)&gt;0,N(AF138)+1,0))</f>
        <v>0</v>
      </c>
      <c r="AG139" s="21" t="str">
        <f aca="false">IF($A139="","",IF(WEEKDAY($A139,2)&lt;&gt;7,"",IF(AND(OR(AA139="",N(AA139)&gt;=$A139+16/24,N(AB139)&lt;=$A139+6/24),OR(AC139="",N(AC139)&lt;=$A139+6/24)),1,0)))</f>
        <v/>
      </c>
      <c r="AH139" s="26" t="str">
        <f aca="false">IF($A139="","",IF(INDEX(Muster!$C$9:$BF$9,1,MOD($A139-Einstellungen!$C$6,Einstellungen!$C$7)+1)="","-",INDEX(Muster!$C$9:$BF$9,1,MOD($A139-Einstellungen!$C$6,Einstellungen!$C$7)+1)))</f>
        <v>N</v>
      </c>
      <c r="AI139" s="27" t="n">
        <f aca="false">IF($A139="","",IFERROR(VLOOKUP(AH139,Schichten!$A$5:$G$24,6,FALSE()),0))</f>
        <v>8</v>
      </c>
      <c r="AJ139" s="27" t="n">
        <f aca="false">IF($A139="","",IFERROR(VLOOKUP(AH139,Schichten!$A$5:$G$24,7,FALSE()),0))</f>
        <v>7</v>
      </c>
      <c r="AK139" s="28" t="n">
        <f aca="false">IF($A139="","",IF(N(AI139)=0,"",$A139+VLOOKUP(AH139,Schichten!$A$5:$G$24,3,FALSE())))</f>
        <v>46522.9166666667</v>
      </c>
      <c r="AL139" s="28" t="n">
        <f aca="false">IF(AK139="","",$A139+VLOOKUP(AH139,Schichten!$A$5:$G$24,4,FALSE())+IF(VLOOKUP(AH139,Schichten!$A$5:$G$24,4,FALSE())&lt;=VLOOKUP(AH139,Schichten!$A$5:$G$24,3,FALSE()),1,0))</f>
        <v>46523.25</v>
      </c>
      <c r="AM139" s="28" t="n">
        <f aca="false">IF($A139="","",IF(N(AI138)&gt;0,AL138,AM138))</f>
        <v>46522.25</v>
      </c>
      <c r="AN139" s="27" t="n">
        <f aca="false">IF(OR(AK139="",AM139=""),"",(AK139-AM139)*24)</f>
        <v>16</v>
      </c>
      <c r="AO139" s="21" t="n">
        <f aca="false">IF($A139="","",IF(N(AI139)&gt;0,N(AO138)+1,0))</f>
        <v>6</v>
      </c>
      <c r="AP139" s="21" t="n">
        <f aca="false">IF($A139="","",IF(N(AJ139)&gt;0,N(AP138)+1,0))</f>
        <v>2</v>
      </c>
      <c r="AQ139" s="21" t="str">
        <f aca="false">IF($A139="","",IF(WEEKDAY($A139,2)&lt;&gt;7,"",IF(AND(OR(AK139="",N(AK139)&gt;=$A139+16/24,N(AL139)&lt;=$A139+6/24),OR(AM139="",N(AM139)&lt;=$A139+6/24)),1,0)))</f>
        <v/>
      </c>
      <c r="AR139" s="26" t="str">
        <f aca="false">IF($A139="","",IF(INDEX(Muster!$C$10:$BF$10,1,MOD($A139-Einstellungen!$C$6,Einstellungen!$C$7)+1)="","-",INDEX(Muster!$C$10:$BF$10,1,MOD($A139-Einstellungen!$C$6,Einstellungen!$C$7)+1)))</f>
        <v>-</v>
      </c>
      <c r="AS139" s="27" t="n">
        <f aca="false">IF($A139="","",IFERROR(VLOOKUP(AR139,Schichten!$A$5:$G$24,6,FALSE()),0))</f>
        <v>0</v>
      </c>
      <c r="AT139" s="27" t="n">
        <f aca="false">IF($A139="","",IFERROR(VLOOKUP(AR139,Schichten!$A$5:$G$24,7,FALSE()),0))</f>
        <v>0</v>
      </c>
      <c r="AU139" s="28" t="str">
        <f aca="false">IF($A139="","",IF(N(AS139)=0,"",$A139+VLOOKUP(AR139,Schichten!$A$5:$G$24,3,FALSE())))</f>
        <v/>
      </c>
      <c r="AV139" s="28" t="str">
        <f aca="false">IF(AU139="","",$A139+VLOOKUP(AR139,Schichten!$A$5:$G$24,4,FALSE())+IF(VLOOKUP(AR139,Schichten!$A$5:$G$24,4,FALSE())&lt;=VLOOKUP(AR139,Schichten!$A$5:$G$24,3,FALSE()),1,0))</f>
        <v/>
      </c>
      <c r="AW139" s="28" t="str">
        <f aca="false">IF($A139="","",IF(N(AS138)&gt;0,AV138,AW138))</f>
        <v/>
      </c>
      <c r="AX139" s="27" t="str">
        <f aca="false">IF(OR(AU139="",AW139=""),"",(AU139-AW139)*24)</f>
        <v/>
      </c>
      <c r="AY139" s="21" t="n">
        <f aca="false">IF($A139="","",IF(N(AS139)&gt;0,N(AY138)+1,0))</f>
        <v>0</v>
      </c>
      <c r="AZ139" s="21" t="n">
        <f aca="false">IF($A139="","",IF(N(AT139)&gt;0,N(AZ138)+1,0))</f>
        <v>0</v>
      </c>
      <c r="BA139" s="21" t="str">
        <f aca="false">IF($A139="","",IF(WEEKDAY($A139,2)&lt;&gt;7,"",IF(AND(OR(AU139="",N(AU139)&gt;=$A139+16/24,N(AV139)&lt;=$A139+6/24),OR(AW139="",N(AW139)&lt;=$A139+6/24)),1,0)))</f>
        <v/>
      </c>
    </row>
    <row r="140" customFormat="false" ht="15" hidden="false" customHeight="false" outlineLevel="0" collapsed="false">
      <c r="A140" s="25" t="n">
        <f aca="false">IF(YEAR(DATE(Einstellungen!$C$4,1,1)+135)=Einstellungen!$C$4,DATE(Einstellungen!$C$4,1,1)+135,"")</f>
        <v>46523</v>
      </c>
      <c r="B140" s="26" t="str">
        <f aca="false">IF($A140="","",CHOOSE(WEEKDAY($A140,2),"Mo","Di","Mi","Do","Fr","Sa","So"))</f>
        <v>So</v>
      </c>
      <c r="C140" s="26" t="n">
        <f aca="false">IF($A140="","",MONTH($A140))</f>
        <v>5</v>
      </c>
      <c r="D140" s="26" t="str">
        <f aca="false">IF($A140="","",IF(INDEX(Muster!$C$6:$BF$6,1,MOD($A140-Einstellungen!$C$6,Einstellungen!$C$7)+1)="","-",INDEX(Muster!$C$6:$BF$6,1,MOD($A140-Einstellungen!$C$6,Einstellungen!$C$7)+1)))</f>
        <v>N</v>
      </c>
      <c r="E140" s="27" t="n">
        <f aca="false">IF($A140="","",IFERROR(VLOOKUP(D140,Schichten!$A$5:$G$24,6,FALSE()),0))</f>
        <v>8</v>
      </c>
      <c r="F140" s="27" t="n">
        <f aca="false">IF($A140="","",IFERROR(VLOOKUP(D140,Schichten!$A$5:$G$24,7,FALSE()),0))</f>
        <v>7</v>
      </c>
      <c r="G140" s="28" t="n">
        <f aca="false">IF($A140="","",IF(N(E140)=0,"",$A140+VLOOKUP(D140,Schichten!$A$5:$G$24,3,FALSE())))</f>
        <v>46523.9166666667</v>
      </c>
      <c r="H140" s="28" t="n">
        <f aca="false">IF(G140="","",$A140+VLOOKUP(D140,Schichten!$A$5:$G$24,4,FALSE())+IF(VLOOKUP(D140,Schichten!$A$5:$G$24,4,FALSE())&lt;=VLOOKUP(D140,Schichten!$A$5:$G$24,3,FALSE()),1,0))</f>
        <v>46524.25</v>
      </c>
      <c r="I140" s="28" t="n">
        <f aca="false">IF($A140="","",IF(N(E139)&gt;0,H139,I139))</f>
        <v>46522.9166666667</v>
      </c>
      <c r="J140" s="27" t="n">
        <f aca="false">IF(OR(G140="",I140=""),"",(G140-I140)*24)</f>
        <v>24</v>
      </c>
      <c r="K140" s="21" t="n">
        <f aca="false">IF($A140="","",IF(N(E140)&gt;0,N(K139)+1,0))</f>
        <v>5</v>
      </c>
      <c r="L140" s="21" t="n">
        <f aca="false">IF($A140="","",IF(N(F140)&gt;0,N(L139)+1,0))</f>
        <v>1</v>
      </c>
      <c r="M140" s="21" t="n">
        <f aca="false">IF($A140="","",IF(WEEKDAY($A140,2)&lt;&gt;7,"",IF(AND(OR(G140="",N(G140)&gt;=$A140+16/24,N(H140)&lt;=$A140+6/24),OR(I140="",N(I140)&lt;=$A140+6/24)),1,0)))</f>
        <v>1</v>
      </c>
      <c r="N140" s="26" t="str">
        <f aca="false">IF($A140="","",IF(INDEX(Muster!$C$7:$BF$7,1,MOD($A140-Einstellungen!$C$6,Einstellungen!$C$7)+1)="","-",INDEX(Muster!$C$7:$BF$7,1,MOD($A140-Einstellungen!$C$6,Einstellungen!$C$7)+1)))</f>
        <v>S</v>
      </c>
      <c r="O140" s="27" t="n">
        <f aca="false">IF($A140="","",IFERROR(VLOOKUP(N140,Schichten!$A$5:$G$24,6,FALSE()),0))</f>
        <v>8</v>
      </c>
      <c r="P140" s="27" t="n">
        <f aca="false">IF($A140="","",IFERROR(VLOOKUP(N140,Schichten!$A$5:$G$24,7,FALSE()),0))</f>
        <v>0</v>
      </c>
      <c r="Q140" s="28" t="n">
        <f aca="false">IF($A140="","",IF(N(O140)=0,"",$A140+VLOOKUP(N140,Schichten!$A$5:$G$24,3,FALSE())))</f>
        <v>46523.5833333333</v>
      </c>
      <c r="R140" s="28" t="n">
        <f aca="false">IF(Q140="","",$A140+VLOOKUP(N140,Schichten!$A$5:$G$24,4,FALSE())+IF(VLOOKUP(N140,Schichten!$A$5:$G$24,4,FALSE())&lt;=VLOOKUP(N140,Schichten!$A$5:$G$24,3,FALSE()),1,0))</f>
        <v>46523.9166666667</v>
      </c>
      <c r="S140" s="28" t="n">
        <f aca="false">IF($A140="","",IF(N(O139)&gt;0,R139,S139))</f>
        <v>46522.5833333333</v>
      </c>
      <c r="T140" s="27" t="n">
        <f aca="false">IF(OR(Q140="",S140=""),"",(Q140-S140)*24)</f>
        <v>24</v>
      </c>
      <c r="U140" s="21" t="n">
        <f aca="false">IF($A140="","",IF(N(O140)&gt;0,N(U139)+1,0))</f>
        <v>3</v>
      </c>
      <c r="V140" s="21" t="n">
        <f aca="false">IF($A140="","",IF(N(P140)&gt;0,N(V139)+1,0))</f>
        <v>0</v>
      </c>
      <c r="W140" s="21" t="n">
        <f aca="false">IF($A140="","",IF(WEEKDAY($A140,2)&lt;&gt;7,"",IF(AND(OR(Q140="",N(Q140)&gt;=$A140+16/24,N(R140)&lt;=$A140+6/24),OR(S140="",N(S140)&lt;=$A140+6/24)),1,0)))</f>
        <v>0</v>
      </c>
      <c r="X140" s="26" t="str">
        <f aca="false">IF($A140="","",IF(INDEX(Muster!$C$8:$BF$8,1,MOD($A140-Einstellungen!$C$6,Einstellungen!$C$7)+1)="","-",INDEX(Muster!$C$8:$BF$8,1,MOD($A140-Einstellungen!$C$6,Einstellungen!$C$7)+1)))</f>
        <v>F</v>
      </c>
      <c r="Y140" s="27" t="n">
        <f aca="false">IF($A140="","",IFERROR(VLOOKUP(X140,Schichten!$A$5:$G$24,6,FALSE()),0))</f>
        <v>8</v>
      </c>
      <c r="Z140" s="27" t="n">
        <f aca="false">IF($A140="","",IFERROR(VLOOKUP(X140,Schichten!$A$5:$G$24,7,FALSE()),0))</f>
        <v>0</v>
      </c>
      <c r="AA140" s="28" t="n">
        <f aca="false">IF($A140="","",IF(N(Y140)=0,"",$A140+VLOOKUP(X140,Schichten!$A$5:$G$24,3,FALSE())))</f>
        <v>46523.25</v>
      </c>
      <c r="AB140" s="28" t="n">
        <f aca="false">IF(AA140="","",$A140+VLOOKUP(X140,Schichten!$A$5:$G$24,4,FALSE())+IF(VLOOKUP(X140,Schichten!$A$5:$G$24,4,FALSE())&lt;=VLOOKUP(X140,Schichten!$A$5:$G$24,3,FALSE()),1,0))</f>
        <v>46523.5833333333</v>
      </c>
      <c r="AC140" s="28" t="n">
        <f aca="false">IF($A140="","",IF(N(Y139)&gt;0,AB139,AC139))</f>
        <v>46521.25</v>
      </c>
      <c r="AD140" s="27" t="n">
        <f aca="false">IF(OR(AA140="",AC140=""),"",(AA140-AC140)*24)</f>
        <v>48</v>
      </c>
      <c r="AE140" s="21" t="n">
        <f aca="false">IF($A140="","",IF(N(Y140)&gt;0,N(AE139)+1,0))</f>
        <v>1</v>
      </c>
      <c r="AF140" s="21" t="n">
        <f aca="false">IF($A140="","",IF(N(Z140)&gt;0,N(AF139)+1,0))</f>
        <v>0</v>
      </c>
      <c r="AG140" s="21" t="n">
        <f aca="false">IF($A140="","",IF(WEEKDAY($A140,2)&lt;&gt;7,"",IF(AND(OR(AA140="",N(AA140)&gt;=$A140+16/24,N(AB140)&lt;=$A140+6/24),OR(AC140="",N(AC140)&lt;=$A140+6/24)),1,0)))</f>
        <v>0</v>
      </c>
      <c r="AH140" s="26" t="str">
        <f aca="false">IF($A140="","",IF(INDEX(Muster!$C$9:$BF$9,1,MOD($A140-Einstellungen!$C$6,Einstellungen!$C$7)+1)="","-",INDEX(Muster!$C$9:$BF$9,1,MOD($A140-Einstellungen!$C$6,Einstellungen!$C$7)+1)))</f>
        <v>-</v>
      </c>
      <c r="AI140" s="27" t="n">
        <f aca="false">IF($A140="","",IFERROR(VLOOKUP(AH140,Schichten!$A$5:$G$24,6,FALSE()),0))</f>
        <v>0</v>
      </c>
      <c r="AJ140" s="27" t="n">
        <f aca="false">IF($A140="","",IFERROR(VLOOKUP(AH140,Schichten!$A$5:$G$24,7,FALSE()),0))</f>
        <v>0</v>
      </c>
      <c r="AK140" s="28" t="str">
        <f aca="false">IF($A140="","",IF(N(AI140)=0,"",$A140+VLOOKUP(AH140,Schichten!$A$5:$G$24,3,FALSE())))</f>
        <v/>
      </c>
      <c r="AL140" s="28" t="str">
        <f aca="false">IF(AK140="","",$A140+VLOOKUP(AH140,Schichten!$A$5:$G$24,4,FALSE())+IF(VLOOKUP(AH140,Schichten!$A$5:$G$24,4,FALSE())&lt;=VLOOKUP(AH140,Schichten!$A$5:$G$24,3,FALSE()),1,0))</f>
        <v/>
      </c>
      <c r="AM140" s="28" t="n">
        <f aca="false">IF($A140="","",IF(N(AI139)&gt;0,AL139,AM139))</f>
        <v>46523.25</v>
      </c>
      <c r="AN140" s="27" t="str">
        <f aca="false">IF(OR(AK140="",AM140=""),"",(AK140-AM140)*24)</f>
        <v/>
      </c>
      <c r="AO140" s="21" t="n">
        <f aca="false">IF($A140="","",IF(N(AI140)&gt;0,N(AO139)+1,0))</f>
        <v>0</v>
      </c>
      <c r="AP140" s="21" t="n">
        <f aca="false">IF($A140="","",IF(N(AJ140)&gt;0,N(AP139)+1,0))</f>
        <v>0</v>
      </c>
      <c r="AQ140" s="21" t="n">
        <f aca="false">IF($A140="","",IF(WEEKDAY($A140,2)&lt;&gt;7,"",IF(AND(OR(AK140="",N(AK140)&gt;=$A140+16/24,N(AL140)&lt;=$A140+6/24),OR(AM140="",N(AM140)&lt;=$A140+6/24)),1,0)))</f>
        <v>1</v>
      </c>
      <c r="AR140" s="26" t="str">
        <f aca="false">IF($A140="","",IF(INDEX(Muster!$C$10:$BF$10,1,MOD($A140-Einstellungen!$C$6,Einstellungen!$C$7)+1)="","-",INDEX(Muster!$C$10:$BF$10,1,MOD($A140-Einstellungen!$C$6,Einstellungen!$C$7)+1)))</f>
        <v>-</v>
      </c>
      <c r="AS140" s="27" t="n">
        <f aca="false">IF($A140="","",IFERROR(VLOOKUP(AR140,Schichten!$A$5:$G$24,6,FALSE()),0))</f>
        <v>0</v>
      </c>
      <c r="AT140" s="27" t="n">
        <f aca="false">IF($A140="","",IFERROR(VLOOKUP(AR140,Schichten!$A$5:$G$24,7,FALSE()),0))</f>
        <v>0</v>
      </c>
      <c r="AU140" s="28" t="str">
        <f aca="false">IF($A140="","",IF(N(AS140)=0,"",$A140+VLOOKUP(AR140,Schichten!$A$5:$G$24,3,FALSE())))</f>
        <v/>
      </c>
      <c r="AV140" s="28" t="str">
        <f aca="false">IF(AU140="","",$A140+VLOOKUP(AR140,Schichten!$A$5:$G$24,4,FALSE())+IF(VLOOKUP(AR140,Schichten!$A$5:$G$24,4,FALSE())&lt;=VLOOKUP(AR140,Schichten!$A$5:$G$24,3,FALSE()),1,0))</f>
        <v/>
      </c>
      <c r="AW140" s="28" t="str">
        <f aca="false">IF($A140="","",IF(N(AS139)&gt;0,AV139,AW139))</f>
        <v/>
      </c>
      <c r="AX140" s="27" t="str">
        <f aca="false">IF(OR(AU140="",AW140=""),"",(AU140-AW140)*24)</f>
        <v/>
      </c>
      <c r="AY140" s="21" t="n">
        <f aca="false">IF($A140="","",IF(N(AS140)&gt;0,N(AY139)+1,0))</f>
        <v>0</v>
      </c>
      <c r="AZ140" s="21" t="n">
        <f aca="false">IF($A140="","",IF(N(AT140)&gt;0,N(AZ139)+1,0))</f>
        <v>0</v>
      </c>
      <c r="BA140" s="21" t="n">
        <f aca="false">IF($A140="","",IF(WEEKDAY($A140,2)&lt;&gt;7,"",IF(AND(OR(AU140="",N(AU140)&gt;=$A140+16/24,N(AV140)&lt;=$A140+6/24),OR(AW140="",N(AW140)&lt;=$A140+6/24)),1,0)))</f>
        <v>1</v>
      </c>
    </row>
    <row r="141" customFormat="false" ht="15" hidden="false" customHeight="false" outlineLevel="0" collapsed="false">
      <c r="A141" s="25" t="n">
        <f aca="false">IF(YEAR(DATE(Einstellungen!$C$4,1,1)+136)=Einstellungen!$C$4,DATE(Einstellungen!$C$4,1,1)+136,"")</f>
        <v>46524</v>
      </c>
      <c r="B141" s="26" t="str">
        <f aca="false">IF($A141="","",CHOOSE(WEEKDAY($A141,2),"Mo","Di","Mi","Do","Fr","Sa","So"))</f>
        <v>Mo</v>
      </c>
      <c r="C141" s="26" t="n">
        <f aca="false">IF($A141="","",MONTH($A141))</f>
        <v>5</v>
      </c>
      <c r="D141" s="26" t="str">
        <f aca="false">IF($A141="","",IF(INDEX(Muster!$C$6:$BF$6,1,MOD($A141-Einstellungen!$C$6,Einstellungen!$C$7)+1)="","-",INDEX(Muster!$C$6:$BF$6,1,MOD($A141-Einstellungen!$C$6,Einstellungen!$C$7)+1)))</f>
        <v>N</v>
      </c>
      <c r="E141" s="27" t="n">
        <f aca="false">IF($A141="","",IFERROR(VLOOKUP(D141,Schichten!$A$5:$G$24,6,FALSE()),0))</f>
        <v>8</v>
      </c>
      <c r="F141" s="27" t="n">
        <f aca="false">IF($A141="","",IFERROR(VLOOKUP(D141,Schichten!$A$5:$G$24,7,FALSE()),0))</f>
        <v>7</v>
      </c>
      <c r="G141" s="28" t="n">
        <f aca="false">IF($A141="","",IF(N(E141)=0,"",$A141+VLOOKUP(D141,Schichten!$A$5:$G$24,3,FALSE())))</f>
        <v>46524.9166666667</v>
      </c>
      <c r="H141" s="28" t="n">
        <f aca="false">IF(G141="","",$A141+VLOOKUP(D141,Schichten!$A$5:$G$24,4,FALSE())+IF(VLOOKUP(D141,Schichten!$A$5:$G$24,4,FALSE())&lt;=VLOOKUP(D141,Schichten!$A$5:$G$24,3,FALSE()),1,0))</f>
        <v>46525.25</v>
      </c>
      <c r="I141" s="28" t="n">
        <f aca="false">IF($A141="","",IF(N(E140)&gt;0,H140,I140))</f>
        <v>46524.25</v>
      </c>
      <c r="J141" s="27" t="n">
        <f aca="false">IF(OR(G141="",I141=""),"",(G141-I141)*24)</f>
        <v>16</v>
      </c>
      <c r="K141" s="21" t="n">
        <f aca="false">IF($A141="","",IF(N(E141)&gt;0,N(K140)+1,0))</f>
        <v>6</v>
      </c>
      <c r="L141" s="21" t="n">
        <f aca="false">IF($A141="","",IF(N(F141)&gt;0,N(L140)+1,0))</f>
        <v>2</v>
      </c>
      <c r="M141" s="21" t="str">
        <f aca="false">IF($A141="","",IF(WEEKDAY($A141,2)&lt;&gt;7,"",IF(AND(OR(G141="",N(G141)&gt;=$A141+16/24,N(H141)&lt;=$A141+6/24),OR(I141="",N(I141)&lt;=$A141+6/24)),1,0)))</f>
        <v/>
      </c>
      <c r="N141" s="26" t="str">
        <f aca="false">IF($A141="","",IF(INDEX(Muster!$C$7:$BF$7,1,MOD($A141-Einstellungen!$C$6,Einstellungen!$C$7)+1)="","-",INDEX(Muster!$C$7:$BF$7,1,MOD($A141-Einstellungen!$C$6,Einstellungen!$C$7)+1)))</f>
        <v>S</v>
      </c>
      <c r="O141" s="27" t="n">
        <f aca="false">IF($A141="","",IFERROR(VLOOKUP(N141,Schichten!$A$5:$G$24,6,FALSE()),0))</f>
        <v>8</v>
      </c>
      <c r="P141" s="27" t="n">
        <f aca="false">IF($A141="","",IFERROR(VLOOKUP(N141,Schichten!$A$5:$G$24,7,FALSE()),0))</f>
        <v>0</v>
      </c>
      <c r="Q141" s="28" t="n">
        <f aca="false">IF($A141="","",IF(N(O141)=0,"",$A141+VLOOKUP(N141,Schichten!$A$5:$G$24,3,FALSE())))</f>
        <v>46524.5833333333</v>
      </c>
      <c r="R141" s="28" t="n">
        <f aca="false">IF(Q141="","",$A141+VLOOKUP(N141,Schichten!$A$5:$G$24,4,FALSE())+IF(VLOOKUP(N141,Schichten!$A$5:$G$24,4,FALSE())&lt;=VLOOKUP(N141,Schichten!$A$5:$G$24,3,FALSE()),1,0))</f>
        <v>46524.9166666667</v>
      </c>
      <c r="S141" s="28" t="n">
        <f aca="false">IF($A141="","",IF(N(O140)&gt;0,R140,S140))</f>
        <v>46523.9166666667</v>
      </c>
      <c r="T141" s="27" t="n">
        <f aca="false">IF(OR(Q141="",S141=""),"",(Q141-S141)*24)</f>
        <v>16</v>
      </c>
      <c r="U141" s="21" t="n">
        <f aca="false">IF($A141="","",IF(N(O141)&gt;0,N(U140)+1,0))</f>
        <v>4</v>
      </c>
      <c r="V141" s="21" t="n">
        <f aca="false">IF($A141="","",IF(N(P141)&gt;0,N(V140)+1,0))</f>
        <v>0</v>
      </c>
      <c r="W141" s="21" t="str">
        <f aca="false">IF($A141="","",IF(WEEKDAY($A141,2)&lt;&gt;7,"",IF(AND(OR(Q141="",N(Q141)&gt;=$A141+16/24,N(R141)&lt;=$A141+6/24),OR(S141="",N(S141)&lt;=$A141+6/24)),1,0)))</f>
        <v/>
      </c>
      <c r="X141" s="26" t="str">
        <f aca="false">IF($A141="","",IF(INDEX(Muster!$C$8:$BF$8,1,MOD($A141-Einstellungen!$C$6,Einstellungen!$C$7)+1)="","-",INDEX(Muster!$C$8:$BF$8,1,MOD($A141-Einstellungen!$C$6,Einstellungen!$C$7)+1)))</f>
        <v>F</v>
      </c>
      <c r="Y141" s="27" t="n">
        <f aca="false">IF($A141="","",IFERROR(VLOOKUP(X141,Schichten!$A$5:$G$24,6,FALSE()),0))</f>
        <v>8</v>
      </c>
      <c r="Z141" s="27" t="n">
        <f aca="false">IF($A141="","",IFERROR(VLOOKUP(X141,Schichten!$A$5:$G$24,7,FALSE()),0))</f>
        <v>0</v>
      </c>
      <c r="AA141" s="28" t="n">
        <f aca="false">IF($A141="","",IF(N(Y141)=0,"",$A141+VLOOKUP(X141,Schichten!$A$5:$G$24,3,FALSE())))</f>
        <v>46524.25</v>
      </c>
      <c r="AB141" s="28" t="n">
        <f aca="false">IF(AA141="","",$A141+VLOOKUP(X141,Schichten!$A$5:$G$24,4,FALSE())+IF(VLOOKUP(X141,Schichten!$A$5:$G$24,4,FALSE())&lt;=VLOOKUP(X141,Schichten!$A$5:$G$24,3,FALSE()),1,0))</f>
        <v>46524.5833333333</v>
      </c>
      <c r="AC141" s="28" t="n">
        <f aca="false">IF($A141="","",IF(N(Y140)&gt;0,AB140,AC140))</f>
        <v>46523.5833333333</v>
      </c>
      <c r="AD141" s="27" t="n">
        <f aca="false">IF(OR(AA141="",AC141=""),"",(AA141-AC141)*24)</f>
        <v>16</v>
      </c>
      <c r="AE141" s="21" t="n">
        <f aca="false">IF($A141="","",IF(N(Y141)&gt;0,N(AE140)+1,0))</f>
        <v>2</v>
      </c>
      <c r="AF141" s="21" t="n">
        <f aca="false">IF($A141="","",IF(N(Z141)&gt;0,N(AF140)+1,0))</f>
        <v>0</v>
      </c>
      <c r="AG141" s="21" t="str">
        <f aca="false">IF($A141="","",IF(WEEKDAY($A141,2)&lt;&gt;7,"",IF(AND(OR(AA141="",N(AA141)&gt;=$A141+16/24,N(AB141)&lt;=$A141+6/24),OR(AC141="",N(AC141)&lt;=$A141+6/24)),1,0)))</f>
        <v/>
      </c>
      <c r="AH141" s="26" t="str">
        <f aca="false">IF($A141="","",IF(INDEX(Muster!$C$9:$BF$9,1,MOD($A141-Einstellungen!$C$6,Einstellungen!$C$7)+1)="","-",INDEX(Muster!$C$9:$BF$9,1,MOD($A141-Einstellungen!$C$6,Einstellungen!$C$7)+1)))</f>
        <v>-</v>
      </c>
      <c r="AI141" s="27" t="n">
        <f aca="false">IF($A141="","",IFERROR(VLOOKUP(AH141,Schichten!$A$5:$G$24,6,FALSE()),0))</f>
        <v>0</v>
      </c>
      <c r="AJ141" s="27" t="n">
        <f aca="false">IF($A141="","",IFERROR(VLOOKUP(AH141,Schichten!$A$5:$G$24,7,FALSE()),0))</f>
        <v>0</v>
      </c>
      <c r="AK141" s="28" t="str">
        <f aca="false">IF($A141="","",IF(N(AI141)=0,"",$A141+VLOOKUP(AH141,Schichten!$A$5:$G$24,3,FALSE())))</f>
        <v/>
      </c>
      <c r="AL141" s="28" t="str">
        <f aca="false">IF(AK141="","",$A141+VLOOKUP(AH141,Schichten!$A$5:$G$24,4,FALSE())+IF(VLOOKUP(AH141,Schichten!$A$5:$G$24,4,FALSE())&lt;=VLOOKUP(AH141,Schichten!$A$5:$G$24,3,FALSE()),1,0))</f>
        <v/>
      </c>
      <c r="AM141" s="28" t="n">
        <f aca="false">IF($A141="","",IF(N(AI140)&gt;0,AL140,AM140))</f>
        <v>46523.25</v>
      </c>
      <c r="AN141" s="27" t="str">
        <f aca="false">IF(OR(AK141="",AM141=""),"",(AK141-AM141)*24)</f>
        <v/>
      </c>
      <c r="AO141" s="21" t="n">
        <f aca="false">IF($A141="","",IF(N(AI141)&gt;0,N(AO140)+1,0))</f>
        <v>0</v>
      </c>
      <c r="AP141" s="21" t="n">
        <f aca="false">IF($A141="","",IF(N(AJ141)&gt;0,N(AP140)+1,0))</f>
        <v>0</v>
      </c>
      <c r="AQ141" s="21" t="str">
        <f aca="false">IF($A141="","",IF(WEEKDAY($A141,2)&lt;&gt;7,"",IF(AND(OR(AK141="",N(AK141)&gt;=$A141+16/24,N(AL141)&lt;=$A141+6/24),OR(AM141="",N(AM141)&lt;=$A141+6/24)),1,0)))</f>
        <v/>
      </c>
      <c r="AR141" s="26" t="str">
        <f aca="false">IF($A141="","",IF(INDEX(Muster!$C$10:$BF$10,1,MOD($A141-Einstellungen!$C$6,Einstellungen!$C$7)+1)="","-",INDEX(Muster!$C$10:$BF$10,1,MOD($A141-Einstellungen!$C$6,Einstellungen!$C$7)+1)))</f>
        <v>-</v>
      </c>
      <c r="AS141" s="27" t="n">
        <f aca="false">IF($A141="","",IFERROR(VLOOKUP(AR141,Schichten!$A$5:$G$24,6,FALSE()),0))</f>
        <v>0</v>
      </c>
      <c r="AT141" s="27" t="n">
        <f aca="false">IF($A141="","",IFERROR(VLOOKUP(AR141,Schichten!$A$5:$G$24,7,FALSE()),0))</f>
        <v>0</v>
      </c>
      <c r="AU141" s="28" t="str">
        <f aca="false">IF($A141="","",IF(N(AS141)=0,"",$A141+VLOOKUP(AR141,Schichten!$A$5:$G$24,3,FALSE())))</f>
        <v/>
      </c>
      <c r="AV141" s="28" t="str">
        <f aca="false">IF(AU141="","",$A141+VLOOKUP(AR141,Schichten!$A$5:$G$24,4,FALSE())+IF(VLOOKUP(AR141,Schichten!$A$5:$G$24,4,FALSE())&lt;=VLOOKUP(AR141,Schichten!$A$5:$G$24,3,FALSE()),1,0))</f>
        <v/>
      </c>
      <c r="AW141" s="28" t="str">
        <f aca="false">IF($A141="","",IF(N(AS140)&gt;0,AV140,AW140))</f>
        <v/>
      </c>
      <c r="AX141" s="27" t="str">
        <f aca="false">IF(OR(AU141="",AW141=""),"",(AU141-AW141)*24)</f>
        <v/>
      </c>
      <c r="AY141" s="21" t="n">
        <f aca="false">IF($A141="","",IF(N(AS141)&gt;0,N(AY140)+1,0))</f>
        <v>0</v>
      </c>
      <c r="AZ141" s="21" t="n">
        <f aca="false">IF($A141="","",IF(N(AT141)&gt;0,N(AZ140)+1,0))</f>
        <v>0</v>
      </c>
      <c r="BA141" s="21" t="str">
        <f aca="false">IF($A141="","",IF(WEEKDAY($A141,2)&lt;&gt;7,"",IF(AND(OR(AU141="",N(AU141)&gt;=$A141+16/24,N(AV141)&lt;=$A141+6/24),OR(AW141="",N(AW141)&lt;=$A141+6/24)),1,0)))</f>
        <v/>
      </c>
    </row>
    <row r="142" customFormat="false" ht="15" hidden="false" customHeight="false" outlineLevel="0" collapsed="false">
      <c r="A142" s="25" t="n">
        <f aca="false">IF(YEAR(DATE(Einstellungen!$C$4,1,1)+137)=Einstellungen!$C$4,DATE(Einstellungen!$C$4,1,1)+137,"")</f>
        <v>46525</v>
      </c>
      <c r="B142" s="26" t="str">
        <f aca="false">IF($A142="","",CHOOSE(WEEKDAY($A142,2),"Mo","Di","Mi","Do","Fr","Sa","So"))</f>
        <v>Di</v>
      </c>
      <c r="C142" s="26" t="n">
        <f aca="false">IF($A142="","",MONTH($A142))</f>
        <v>5</v>
      </c>
      <c r="D142" s="26" t="str">
        <f aca="false">IF($A142="","",IF(INDEX(Muster!$C$6:$BF$6,1,MOD($A142-Einstellungen!$C$6,Einstellungen!$C$7)+1)="","-",INDEX(Muster!$C$6:$BF$6,1,MOD($A142-Einstellungen!$C$6,Einstellungen!$C$7)+1)))</f>
        <v>-</v>
      </c>
      <c r="E142" s="27" t="n">
        <f aca="false">IF($A142="","",IFERROR(VLOOKUP(D142,Schichten!$A$5:$G$24,6,FALSE()),0))</f>
        <v>0</v>
      </c>
      <c r="F142" s="27" t="n">
        <f aca="false">IF($A142="","",IFERROR(VLOOKUP(D142,Schichten!$A$5:$G$24,7,FALSE()),0))</f>
        <v>0</v>
      </c>
      <c r="G142" s="28" t="str">
        <f aca="false">IF($A142="","",IF(N(E142)=0,"",$A142+VLOOKUP(D142,Schichten!$A$5:$G$24,3,FALSE())))</f>
        <v/>
      </c>
      <c r="H142" s="28" t="str">
        <f aca="false">IF(G142="","",$A142+VLOOKUP(D142,Schichten!$A$5:$G$24,4,FALSE())+IF(VLOOKUP(D142,Schichten!$A$5:$G$24,4,FALSE())&lt;=VLOOKUP(D142,Schichten!$A$5:$G$24,3,FALSE()),1,0))</f>
        <v/>
      </c>
      <c r="I142" s="28" t="n">
        <f aca="false">IF($A142="","",IF(N(E141)&gt;0,H141,I141))</f>
        <v>46525.25</v>
      </c>
      <c r="J142" s="27" t="str">
        <f aca="false">IF(OR(G142="",I142=""),"",(G142-I142)*24)</f>
        <v/>
      </c>
      <c r="K142" s="21" t="n">
        <f aca="false">IF($A142="","",IF(N(E142)&gt;0,N(K141)+1,0))</f>
        <v>0</v>
      </c>
      <c r="L142" s="21" t="n">
        <f aca="false">IF($A142="","",IF(N(F142)&gt;0,N(L141)+1,0))</f>
        <v>0</v>
      </c>
      <c r="M142" s="21" t="str">
        <f aca="false">IF($A142="","",IF(WEEKDAY($A142,2)&lt;&gt;7,"",IF(AND(OR(G142="",N(G142)&gt;=$A142+16/24,N(H142)&lt;=$A142+6/24),OR(I142="",N(I142)&lt;=$A142+6/24)),1,0)))</f>
        <v/>
      </c>
      <c r="N142" s="26" t="str">
        <f aca="false">IF($A142="","",IF(INDEX(Muster!$C$7:$BF$7,1,MOD($A142-Einstellungen!$C$6,Einstellungen!$C$7)+1)="","-",INDEX(Muster!$C$7:$BF$7,1,MOD($A142-Einstellungen!$C$6,Einstellungen!$C$7)+1)))</f>
        <v>N</v>
      </c>
      <c r="O142" s="27" t="n">
        <f aca="false">IF($A142="","",IFERROR(VLOOKUP(N142,Schichten!$A$5:$G$24,6,FALSE()),0))</f>
        <v>8</v>
      </c>
      <c r="P142" s="27" t="n">
        <f aca="false">IF($A142="","",IFERROR(VLOOKUP(N142,Schichten!$A$5:$G$24,7,FALSE()),0))</f>
        <v>7</v>
      </c>
      <c r="Q142" s="28" t="n">
        <f aca="false">IF($A142="","",IF(N(O142)=0,"",$A142+VLOOKUP(N142,Schichten!$A$5:$G$24,3,FALSE())))</f>
        <v>46525.9166666667</v>
      </c>
      <c r="R142" s="28" t="n">
        <f aca="false">IF(Q142="","",$A142+VLOOKUP(N142,Schichten!$A$5:$G$24,4,FALSE())+IF(VLOOKUP(N142,Schichten!$A$5:$G$24,4,FALSE())&lt;=VLOOKUP(N142,Schichten!$A$5:$G$24,3,FALSE()),1,0))</f>
        <v>46526.25</v>
      </c>
      <c r="S142" s="28" t="n">
        <f aca="false">IF($A142="","",IF(N(O141)&gt;0,R141,S141))</f>
        <v>46524.9166666667</v>
      </c>
      <c r="T142" s="27" t="n">
        <f aca="false">IF(OR(Q142="",S142=""),"",(Q142-S142)*24)</f>
        <v>24</v>
      </c>
      <c r="U142" s="21" t="n">
        <f aca="false">IF($A142="","",IF(N(O142)&gt;0,N(U141)+1,0))</f>
        <v>5</v>
      </c>
      <c r="V142" s="21" t="n">
        <f aca="false">IF($A142="","",IF(N(P142)&gt;0,N(V141)+1,0))</f>
        <v>1</v>
      </c>
      <c r="W142" s="21" t="str">
        <f aca="false">IF($A142="","",IF(WEEKDAY($A142,2)&lt;&gt;7,"",IF(AND(OR(Q142="",N(Q142)&gt;=$A142+16/24,N(R142)&lt;=$A142+6/24),OR(S142="",N(S142)&lt;=$A142+6/24)),1,0)))</f>
        <v/>
      </c>
      <c r="X142" s="26" t="str">
        <f aca="false">IF($A142="","",IF(INDEX(Muster!$C$8:$BF$8,1,MOD($A142-Einstellungen!$C$6,Einstellungen!$C$7)+1)="","-",INDEX(Muster!$C$8:$BF$8,1,MOD($A142-Einstellungen!$C$6,Einstellungen!$C$7)+1)))</f>
        <v>S</v>
      </c>
      <c r="Y142" s="27" t="n">
        <f aca="false">IF($A142="","",IFERROR(VLOOKUP(X142,Schichten!$A$5:$G$24,6,FALSE()),0))</f>
        <v>8</v>
      </c>
      <c r="Z142" s="27" t="n">
        <f aca="false">IF($A142="","",IFERROR(VLOOKUP(X142,Schichten!$A$5:$G$24,7,FALSE()),0))</f>
        <v>0</v>
      </c>
      <c r="AA142" s="28" t="n">
        <f aca="false">IF($A142="","",IF(N(Y142)=0,"",$A142+VLOOKUP(X142,Schichten!$A$5:$G$24,3,FALSE())))</f>
        <v>46525.5833333333</v>
      </c>
      <c r="AB142" s="28" t="n">
        <f aca="false">IF(AA142="","",$A142+VLOOKUP(X142,Schichten!$A$5:$G$24,4,FALSE())+IF(VLOOKUP(X142,Schichten!$A$5:$G$24,4,FALSE())&lt;=VLOOKUP(X142,Schichten!$A$5:$G$24,3,FALSE()),1,0))</f>
        <v>46525.9166666667</v>
      </c>
      <c r="AC142" s="28" t="n">
        <f aca="false">IF($A142="","",IF(N(Y141)&gt;0,AB141,AC141))</f>
        <v>46524.5833333333</v>
      </c>
      <c r="AD142" s="27" t="n">
        <f aca="false">IF(OR(AA142="",AC142=""),"",(AA142-AC142)*24)</f>
        <v>24</v>
      </c>
      <c r="AE142" s="21" t="n">
        <f aca="false">IF($A142="","",IF(N(Y142)&gt;0,N(AE141)+1,0))</f>
        <v>3</v>
      </c>
      <c r="AF142" s="21" t="n">
        <f aca="false">IF($A142="","",IF(N(Z142)&gt;0,N(AF141)+1,0))</f>
        <v>0</v>
      </c>
      <c r="AG142" s="21" t="str">
        <f aca="false">IF($A142="","",IF(WEEKDAY($A142,2)&lt;&gt;7,"",IF(AND(OR(AA142="",N(AA142)&gt;=$A142+16/24,N(AB142)&lt;=$A142+6/24),OR(AC142="",N(AC142)&lt;=$A142+6/24)),1,0)))</f>
        <v/>
      </c>
      <c r="AH142" s="26" t="str">
        <f aca="false">IF($A142="","",IF(INDEX(Muster!$C$9:$BF$9,1,MOD($A142-Einstellungen!$C$6,Einstellungen!$C$7)+1)="","-",INDEX(Muster!$C$9:$BF$9,1,MOD($A142-Einstellungen!$C$6,Einstellungen!$C$7)+1)))</f>
        <v>F</v>
      </c>
      <c r="AI142" s="27" t="n">
        <f aca="false">IF($A142="","",IFERROR(VLOOKUP(AH142,Schichten!$A$5:$G$24,6,FALSE()),0))</f>
        <v>8</v>
      </c>
      <c r="AJ142" s="27" t="n">
        <f aca="false">IF($A142="","",IFERROR(VLOOKUP(AH142,Schichten!$A$5:$G$24,7,FALSE()),0))</f>
        <v>0</v>
      </c>
      <c r="AK142" s="28" t="n">
        <f aca="false">IF($A142="","",IF(N(AI142)=0,"",$A142+VLOOKUP(AH142,Schichten!$A$5:$G$24,3,FALSE())))</f>
        <v>46525.25</v>
      </c>
      <c r="AL142" s="28" t="n">
        <f aca="false">IF(AK142="","",$A142+VLOOKUP(AH142,Schichten!$A$5:$G$24,4,FALSE())+IF(VLOOKUP(AH142,Schichten!$A$5:$G$24,4,FALSE())&lt;=VLOOKUP(AH142,Schichten!$A$5:$G$24,3,FALSE()),1,0))</f>
        <v>46525.5833333333</v>
      </c>
      <c r="AM142" s="28" t="n">
        <f aca="false">IF($A142="","",IF(N(AI141)&gt;0,AL141,AM141))</f>
        <v>46523.25</v>
      </c>
      <c r="AN142" s="27" t="n">
        <f aca="false">IF(OR(AK142="",AM142=""),"",(AK142-AM142)*24)</f>
        <v>48</v>
      </c>
      <c r="AO142" s="21" t="n">
        <f aca="false">IF($A142="","",IF(N(AI142)&gt;0,N(AO141)+1,0))</f>
        <v>1</v>
      </c>
      <c r="AP142" s="21" t="n">
        <f aca="false">IF($A142="","",IF(N(AJ142)&gt;0,N(AP141)+1,0))</f>
        <v>0</v>
      </c>
      <c r="AQ142" s="21" t="str">
        <f aca="false">IF($A142="","",IF(WEEKDAY($A142,2)&lt;&gt;7,"",IF(AND(OR(AK142="",N(AK142)&gt;=$A142+16/24,N(AL142)&lt;=$A142+6/24),OR(AM142="",N(AM142)&lt;=$A142+6/24)),1,0)))</f>
        <v/>
      </c>
      <c r="AR142" s="26" t="str">
        <f aca="false">IF($A142="","",IF(INDEX(Muster!$C$10:$BF$10,1,MOD($A142-Einstellungen!$C$6,Einstellungen!$C$7)+1)="","-",INDEX(Muster!$C$10:$BF$10,1,MOD($A142-Einstellungen!$C$6,Einstellungen!$C$7)+1)))</f>
        <v>-</v>
      </c>
      <c r="AS142" s="27" t="n">
        <f aca="false">IF($A142="","",IFERROR(VLOOKUP(AR142,Schichten!$A$5:$G$24,6,FALSE()),0))</f>
        <v>0</v>
      </c>
      <c r="AT142" s="27" t="n">
        <f aca="false">IF($A142="","",IFERROR(VLOOKUP(AR142,Schichten!$A$5:$G$24,7,FALSE()),0))</f>
        <v>0</v>
      </c>
      <c r="AU142" s="28" t="str">
        <f aca="false">IF($A142="","",IF(N(AS142)=0,"",$A142+VLOOKUP(AR142,Schichten!$A$5:$G$24,3,FALSE())))</f>
        <v/>
      </c>
      <c r="AV142" s="28" t="str">
        <f aca="false">IF(AU142="","",$A142+VLOOKUP(AR142,Schichten!$A$5:$G$24,4,FALSE())+IF(VLOOKUP(AR142,Schichten!$A$5:$G$24,4,FALSE())&lt;=VLOOKUP(AR142,Schichten!$A$5:$G$24,3,FALSE()),1,0))</f>
        <v/>
      </c>
      <c r="AW142" s="28" t="str">
        <f aca="false">IF($A142="","",IF(N(AS141)&gt;0,AV141,AW141))</f>
        <v/>
      </c>
      <c r="AX142" s="27" t="str">
        <f aca="false">IF(OR(AU142="",AW142=""),"",(AU142-AW142)*24)</f>
        <v/>
      </c>
      <c r="AY142" s="21" t="n">
        <f aca="false">IF($A142="","",IF(N(AS142)&gt;0,N(AY141)+1,0))</f>
        <v>0</v>
      </c>
      <c r="AZ142" s="21" t="n">
        <f aca="false">IF($A142="","",IF(N(AT142)&gt;0,N(AZ141)+1,0))</f>
        <v>0</v>
      </c>
      <c r="BA142" s="21" t="str">
        <f aca="false">IF($A142="","",IF(WEEKDAY($A142,2)&lt;&gt;7,"",IF(AND(OR(AU142="",N(AU142)&gt;=$A142+16/24,N(AV142)&lt;=$A142+6/24),OR(AW142="",N(AW142)&lt;=$A142+6/24)),1,0)))</f>
        <v/>
      </c>
    </row>
    <row r="143" customFormat="false" ht="15" hidden="false" customHeight="false" outlineLevel="0" collapsed="false">
      <c r="A143" s="25" t="n">
        <f aca="false">IF(YEAR(DATE(Einstellungen!$C$4,1,1)+138)=Einstellungen!$C$4,DATE(Einstellungen!$C$4,1,1)+138,"")</f>
        <v>46526</v>
      </c>
      <c r="B143" s="26" t="str">
        <f aca="false">IF($A143="","",CHOOSE(WEEKDAY($A143,2),"Mo","Di","Mi","Do","Fr","Sa","So"))</f>
        <v>Mi</v>
      </c>
      <c r="C143" s="26" t="n">
        <f aca="false">IF($A143="","",MONTH($A143))</f>
        <v>5</v>
      </c>
      <c r="D143" s="26" t="str">
        <f aca="false">IF($A143="","",IF(INDEX(Muster!$C$6:$BF$6,1,MOD($A143-Einstellungen!$C$6,Einstellungen!$C$7)+1)="","-",INDEX(Muster!$C$6:$BF$6,1,MOD($A143-Einstellungen!$C$6,Einstellungen!$C$7)+1)))</f>
        <v>-</v>
      </c>
      <c r="E143" s="27" t="n">
        <f aca="false">IF($A143="","",IFERROR(VLOOKUP(D143,Schichten!$A$5:$G$24,6,FALSE()),0))</f>
        <v>0</v>
      </c>
      <c r="F143" s="27" t="n">
        <f aca="false">IF($A143="","",IFERROR(VLOOKUP(D143,Schichten!$A$5:$G$24,7,FALSE()),0))</f>
        <v>0</v>
      </c>
      <c r="G143" s="28" t="str">
        <f aca="false">IF($A143="","",IF(N(E143)=0,"",$A143+VLOOKUP(D143,Schichten!$A$5:$G$24,3,FALSE())))</f>
        <v/>
      </c>
      <c r="H143" s="28" t="str">
        <f aca="false">IF(G143="","",$A143+VLOOKUP(D143,Schichten!$A$5:$G$24,4,FALSE())+IF(VLOOKUP(D143,Schichten!$A$5:$G$24,4,FALSE())&lt;=VLOOKUP(D143,Schichten!$A$5:$G$24,3,FALSE()),1,0))</f>
        <v/>
      </c>
      <c r="I143" s="28" t="n">
        <f aca="false">IF($A143="","",IF(N(E142)&gt;0,H142,I142))</f>
        <v>46525.25</v>
      </c>
      <c r="J143" s="27" t="str">
        <f aca="false">IF(OR(G143="",I143=""),"",(G143-I143)*24)</f>
        <v/>
      </c>
      <c r="K143" s="21" t="n">
        <f aca="false">IF($A143="","",IF(N(E143)&gt;0,N(K142)+1,0))</f>
        <v>0</v>
      </c>
      <c r="L143" s="21" t="n">
        <f aca="false">IF($A143="","",IF(N(F143)&gt;0,N(L142)+1,0))</f>
        <v>0</v>
      </c>
      <c r="M143" s="21" t="str">
        <f aca="false">IF($A143="","",IF(WEEKDAY($A143,2)&lt;&gt;7,"",IF(AND(OR(G143="",N(G143)&gt;=$A143+16/24,N(H143)&lt;=$A143+6/24),OR(I143="",N(I143)&lt;=$A143+6/24)),1,0)))</f>
        <v/>
      </c>
      <c r="N143" s="26" t="str">
        <f aca="false">IF($A143="","",IF(INDEX(Muster!$C$7:$BF$7,1,MOD($A143-Einstellungen!$C$6,Einstellungen!$C$7)+1)="","-",INDEX(Muster!$C$7:$BF$7,1,MOD($A143-Einstellungen!$C$6,Einstellungen!$C$7)+1)))</f>
        <v>N</v>
      </c>
      <c r="O143" s="27" t="n">
        <f aca="false">IF($A143="","",IFERROR(VLOOKUP(N143,Schichten!$A$5:$G$24,6,FALSE()),0))</f>
        <v>8</v>
      </c>
      <c r="P143" s="27" t="n">
        <f aca="false">IF($A143="","",IFERROR(VLOOKUP(N143,Schichten!$A$5:$G$24,7,FALSE()),0))</f>
        <v>7</v>
      </c>
      <c r="Q143" s="28" t="n">
        <f aca="false">IF($A143="","",IF(N(O143)=0,"",$A143+VLOOKUP(N143,Schichten!$A$5:$G$24,3,FALSE())))</f>
        <v>46526.9166666667</v>
      </c>
      <c r="R143" s="28" t="n">
        <f aca="false">IF(Q143="","",$A143+VLOOKUP(N143,Schichten!$A$5:$G$24,4,FALSE())+IF(VLOOKUP(N143,Schichten!$A$5:$G$24,4,FALSE())&lt;=VLOOKUP(N143,Schichten!$A$5:$G$24,3,FALSE()),1,0))</f>
        <v>46527.25</v>
      </c>
      <c r="S143" s="28" t="n">
        <f aca="false">IF($A143="","",IF(N(O142)&gt;0,R142,S142))</f>
        <v>46526.25</v>
      </c>
      <c r="T143" s="27" t="n">
        <f aca="false">IF(OR(Q143="",S143=""),"",(Q143-S143)*24)</f>
        <v>16</v>
      </c>
      <c r="U143" s="21" t="n">
        <f aca="false">IF($A143="","",IF(N(O143)&gt;0,N(U142)+1,0))</f>
        <v>6</v>
      </c>
      <c r="V143" s="21" t="n">
        <f aca="false">IF($A143="","",IF(N(P143)&gt;0,N(V142)+1,0))</f>
        <v>2</v>
      </c>
      <c r="W143" s="21" t="str">
        <f aca="false">IF($A143="","",IF(WEEKDAY($A143,2)&lt;&gt;7,"",IF(AND(OR(Q143="",N(Q143)&gt;=$A143+16/24,N(R143)&lt;=$A143+6/24),OR(S143="",N(S143)&lt;=$A143+6/24)),1,0)))</f>
        <v/>
      </c>
      <c r="X143" s="26" t="str">
        <f aca="false">IF($A143="","",IF(INDEX(Muster!$C$8:$BF$8,1,MOD($A143-Einstellungen!$C$6,Einstellungen!$C$7)+1)="","-",INDEX(Muster!$C$8:$BF$8,1,MOD($A143-Einstellungen!$C$6,Einstellungen!$C$7)+1)))</f>
        <v>S</v>
      </c>
      <c r="Y143" s="27" t="n">
        <f aca="false">IF($A143="","",IFERROR(VLOOKUP(X143,Schichten!$A$5:$G$24,6,FALSE()),0))</f>
        <v>8</v>
      </c>
      <c r="Z143" s="27" t="n">
        <f aca="false">IF($A143="","",IFERROR(VLOOKUP(X143,Schichten!$A$5:$G$24,7,FALSE()),0))</f>
        <v>0</v>
      </c>
      <c r="AA143" s="28" t="n">
        <f aca="false">IF($A143="","",IF(N(Y143)=0,"",$A143+VLOOKUP(X143,Schichten!$A$5:$G$24,3,FALSE())))</f>
        <v>46526.5833333333</v>
      </c>
      <c r="AB143" s="28" t="n">
        <f aca="false">IF(AA143="","",$A143+VLOOKUP(X143,Schichten!$A$5:$G$24,4,FALSE())+IF(VLOOKUP(X143,Schichten!$A$5:$G$24,4,FALSE())&lt;=VLOOKUP(X143,Schichten!$A$5:$G$24,3,FALSE()),1,0))</f>
        <v>46526.9166666667</v>
      </c>
      <c r="AC143" s="28" t="n">
        <f aca="false">IF($A143="","",IF(N(Y142)&gt;0,AB142,AC142))</f>
        <v>46525.9166666667</v>
      </c>
      <c r="AD143" s="27" t="n">
        <f aca="false">IF(OR(AA143="",AC143=""),"",(AA143-AC143)*24)</f>
        <v>16</v>
      </c>
      <c r="AE143" s="21" t="n">
        <f aca="false">IF($A143="","",IF(N(Y143)&gt;0,N(AE142)+1,0))</f>
        <v>4</v>
      </c>
      <c r="AF143" s="21" t="n">
        <f aca="false">IF($A143="","",IF(N(Z143)&gt;0,N(AF142)+1,0))</f>
        <v>0</v>
      </c>
      <c r="AG143" s="21" t="str">
        <f aca="false">IF($A143="","",IF(WEEKDAY($A143,2)&lt;&gt;7,"",IF(AND(OR(AA143="",N(AA143)&gt;=$A143+16/24,N(AB143)&lt;=$A143+6/24),OR(AC143="",N(AC143)&lt;=$A143+6/24)),1,0)))</f>
        <v/>
      </c>
      <c r="AH143" s="26" t="str">
        <f aca="false">IF($A143="","",IF(INDEX(Muster!$C$9:$BF$9,1,MOD($A143-Einstellungen!$C$6,Einstellungen!$C$7)+1)="","-",INDEX(Muster!$C$9:$BF$9,1,MOD($A143-Einstellungen!$C$6,Einstellungen!$C$7)+1)))</f>
        <v>F</v>
      </c>
      <c r="AI143" s="27" t="n">
        <f aca="false">IF($A143="","",IFERROR(VLOOKUP(AH143,Schichten!$A$5:$G$24,6,FALSE()),0))</f>
        <v>8</v>
      </c>
      <c r="AJ143" s="27" t="n">
        <f aca="false">IF($A143="","",IFERROR(VLOOKUP(AH143,Schichten!$A$5:$G$24,7,FALSE()),0))</f>
        <v>0</v>
      </c>
      <c r="AK143" s="28" t="n">
        <f aca="false">IF($A143="","",IF(N(AI143)=0,"",$A143+VLOOKUP(AH143,Schichten!$A$5:$G$24,3,FALSE())))</f>
        <v>46526.25</v>
      </c>
      <c r="AL143" s="28" t="n">
        <f aca="false">IF(AK143="","",$A143+VLOOKUP(AH143,Schichten!$A$5:$G$24,4,FALSE())+IF(VLOOKUP(AH143,Schichten!$A$5:$G$24,4,FALSE())&lt;=VLOOKUP(AH143,Schichten!$A$5:$G$24,3,FALSE()),1,0))</f>
        <v>46526.5833333333</v>
      </c>
      <c r="AM143" s="28" t="n">
        <f aca="false">IF($A143="","",IF(N(AI142)&gt;0,AL142,AM142))</f>
        <v>46525.5833333333</v>
      </c>
      <c r="AN143" s="27" t="n">
        <f aca="false">IF(OR(AK143="",AM143=""),"",(AK143-AM143)*24)</f>
        <v>16</v>
      </c>
      <c r="AO143" s="21" t="n">
        <f aca="false">IF($A143="","",IF(N(AI143)&gt;0,N(AO142)+1,0))</f>
        <v>2</v>
      </c>
      <c r="AP143" s="21" t="n">
        <f aca="false">IF($A143="","",IF(N(AJ143)&gt;0,N(AP142)+1,0))</f>
        <v>0</v>
      </c>
      <c r="AQ143" s="21" t="str">
        <f aca="false">IF($A143="","",IF(WEEKDAY($A143,2)&lt;&gt;7,"",IF(AND(OR(AK143="",N(AK143)&gt;=$A143+16/24,N(AL143)&lt;=$A143+6/24),OR(AM143="",N(AM143)&lt;=$A143+6/24)),1,0)))</f>
        <v/>
      </c>
      <c r="AR143" s="26" t="str">
        <f aca="false">IF($A143="","",IF(INDEX(Muster!$C$10:$BF$10,1,MOD($A143-Einstellungen!$C$6,Einstellungen!$C$7)+1)="","-",INDEX(Muster!$C$10:$BF$10,1,MOD($A143-Einstellungen!$C$6,Einstellungen!$C$7)+1)))</f>
        <v>-</v>
      </c>
      <c r="AS143" s="27" t="n">
        <f aca="false">IF($A143="","",IFERROR(VLOOKUP(AR143,Schichten!$A$5:$G$24,6,FALSE()),0))</f>
        <v>0</v>
      </c>
      <c r="AT143" s="27" t="n">
        <f aca="false">IF($A143="","",IFERROR(VLOOKUP(AR143,Schichten!$A$5:$G$24,7,FALSE()),0))</f>
        <v>0</v>
      </c>
      <c r="AU143" s="28" t="str">
        <f aca="false">IF($A143="","",IF(N(AS143)=0,"",$A143+VLOOKUP(AR143,Schichten!$A$5:$G$24,3,FALSE())))</f>
        <v/>
      </c>
      <c r="AV143" s="28" t="str">
        <f aca="false">IF(AU143="","",$A143+VLOOKUP(AR143,Schichten!$A$5:$G$24,4,FALSE())+IF(VLOOKUP(AR143,Schichten!$A$5:$G$24,4,FALSE())&lt;=VLOOKUP(AR143,Schichten!$A$5:$G$24,3,FALSE()),1,0))</f>
        <v/>
      </c>
      <c r="AW143" s="28" t="str">
        <f aca="false">IF($A143="","",IF(N(AS142)&gt;0,AV142,AW142))</f>
        <v/>
      </c>
      <c r="AX143" s="27" t="str">
        <f aca="false">IF(OR(AU143="",AW143=""),"",(AU143-AW143)*24)</f>
        <v/>
      </c>
      <c r="AY143" s="21" t="n">
        <f aca="false">IF($A143="","",IF(N(AS143)&gt;0,N(AY142)+1,0))</f>
        <v>0</v>
      </c>
      <c r="AZ143" s="21" t="n">
        <f aca="false">IF($A143="","",IF(N(AT143)&gt;0,N(AZ142)+1,0))</f>
        <v>0</v>
      </c>
      <c r="BA143" s="21" t="str">
        <f aca="false">IF($A143="","",IF(WEEKDAY($A143,2)&lt;&gt;7,"",IF(AND(OR(AU143="",N(AU143)&gt;=$A143+16/24,N(AV143)&lt;=$A143+6/24),OR(AW143="",N(AW143)&lt;=$A143+6/24)),1,0)))</f>
        <v/>
      </c>
    </row>
    <row r="144" customFormat="false" ht="15" hidden="false" customHeight="false" outlineLevel="0" collapsed="false">
      <c r="A144" s="25" t="n">
        <f aca="false">IF(YEAR(DATE(Einstellungen!$C$4,1,1)+139)=Einstellungen!$C$4,DATE(Einstellungen!$C$4,1,1)+139,"")</f>
        <v>46527</v>
      </c>
      <c r="B144" s="26" t="str">
        <f aca="false">IF($A144="","",CHOOSE(WEEKDAY($A144,2),"Mo","Di","Mi","Do","Fr","Sa","So"))</f>
        <v>Do</v>
      </c>
      <c r="C144" s="26" t="n">
        <f aca="false">IF($A144="","",MONTH($A144))</f>
        <v>5</v>
      </c>
      <c r="D144" s="26" t="str">
        <f aca="false">IF($A144="","",IF(INDEX(Muster!$C$6:$BF$6,1,MOD($A144-Einstellungen!$C$6,Einstellungen!$C$7)+1)="","-",INDEX(Muster!$C$6:$BF$6,1,MOD($A144-Einstellungen!$C$6,Einstellungen!$C$7)+1)))</f>
        <v>F</v>
      </c>
      <c r="E144" s="27" t="n">
        <f aca="false">IF($A144="","",IFERROR(VLOOKUP(D144,Schichten!$A$5:$G$24,6,FALSE()),0))</f>
        <v>8</v>
      </c>
      <c r="F144" s="27" t="n">
        <f aca="false">IF($A144="","",IFERROR(VLOOKUP(D144,Schichten!$A$5:$G$24,7,FALSE()),0))</f>
        <v>0</v>
      </c>
      <c r="G144" s="28" t="n">
        <f aca="false">IF($A144="","",IF(N(E144)=0,"",$A144+VLOOKUP(D144,Schichten!$A$5:$G$24,3,FALSE())))</f>
        <v>46527.25</v>
      </c>
      <c r="H144" s="28" t="n">
        <f aca="false">IF(G144="","",$A144+VLOOKUP(D144,Schichten!$A$5:$G$24,4,FALSE())+IF(VLOOKUP(D144,Schichten!$A$5:$G$24,4,FALSE())&lt;=VLOOKUP(D144,Schichten!$A$5:$G$24,3,FALSE()),1,0))</f>
        <v>46527.5833333333</v>
      </c>
      <c r="I144" s="28" t="n">
        <f aca="false">IF($A144="","",IF(N(E143)&gt;0,H143,I143))</f>
        <v>46525.25</v>
      </c>
      <c r="J144" s="27" t="n">
        <f aca="false">IF(OR(G144="",I144=""),"",(G144-I144)*24)</f>
        <v>48</v>
      </c>
      <c r="K144" s="21" t="n">
        <f aca="false">IF($A144="","",IF(N(E144)&gt;0,N(K143)+1,0))</f>
        <v>1</v>
      </c>
      <c r="L144" s="21" t="n">
        <f aca="false">IF($A144="","",IF(N(F144)&gt;0,N(L143)+1,0))</f>
        <v>0</v>
      </c>
      <c r="M144" s="21" t="str">
        <f aca="false">IF($A144="","",IF(WEEKDAY($A144,2)&lt;&gt;7,"",IF(AND(OR(G144="",N(G144)&gt;=$A144+16/24,N(H144)&lt;=$A144+6/24),OR(I144="",N(I144)&lt;=$A144+6/24)),1,0)))</f>
        <v/>
      </c>
      <c r="N144" s="26" t="str">
        <f aca="false">IF($A144="","",IF(INDEX(Muster!$C$7:$BF$7,1,MOD($A144-Einstellungen!$C$6,Einstellungen!$C$7)+1)="","-",INDEX(Muster!$C$7:$BF$7,1,MOD($A144-Einstellungen!$C$6,Einstellungen!$C$7)+1)))</f>
        <v>-</v>
      </c>
      <c r="O144" s="27" t="n">
        <f aca="false">IF($A144="","",IFERROR(VLOOKUP(N144,Schichten!$A$5:$G$24,6,FALSE()),0))</f>
        <v>0</v>
      </c>
      <c r="P144" s="27" t="n">
        <f aca="false">IF($A144="","",IFERROR(VLOOKUP(N144,Schichten!$A$5:$G$24,7,FALSE()),0))</f>
        <v>0</v>
      </c>
      <c r="Q144" s="28" t="str">
        <f aca="false">IF($A144="","",IF(N(O144)=0,"",$A144+VLOOKUP(N144,Schichten!$A$5:$G$24,3,FALSE())))</f>
        <v/>
      </c>
      <c r="R144" s="28" t="str">
        <f aca="false">IF(Q144="","",$A144+VLOOKUP(N144,Schichten!$A$5:$G$24,4,FALSE())+IF(VLOOKUP(N144,Schichten!$A$5:$G$24,4,FALSE())&lt;=VLOOKUP(N144,Schichten!$A$5:$G$24,3,FALSE()),1,0))</f>
        <v/>
      </c>
      <c r="S144" s="28" t="n">
        <f aca="false">IF($A144="","",IF(N(O143)&gt;0,R143,S143))</f>
        <v>46527.25</v>
      </c>
      <c r="T144" s="27" t="str">
        <f aca="false">IF(OR(Q144="",S144=""),"",(Q144-S144)*24)</f>
        <v/>
      </c>
      <c r="U144" s="21" t="n">
        <f aca="false">IF($A144="","",IF(N(O144)&gt;0,N(U143)+1,0))</f>
        <v>0</v>
      </c>
      <c r="V144" s="21" t="n">
        <f aca="false">IF($A144="","",IF(N(P144)&gt;0,N(V143)+1,0))</f>
        <v>0</v>
      </c>
      <c r="W144" s="21" t="str">
        <f aca="false">IF($A144="","",IF(WEEKDAY($A144,2)&lt;&gt;7,"",IF(AND(OR(Q144="",N(Q144)&gt;=$A144+16/24,N(R144)&lt;=$A144+6/24),OR(S144="",N(S144)&lt;=$A144+6/24)),1,0)))</f>
        <v/>
      </c>
      <c r="X144" s="26" t="str">
        <f aca="false">IF($A144="","",IF(INDEX(Muster!$C$8:$BF$8,1,MOD($A144-Einstellungen!$C$6,Einstellungen!$C$7)+1)="","-",INDEX(Muster!$C$8:$BF$8,1,MOD($A144-Einstellungen!$C$6,Einstellungen!$C$7)+1)))</f>
        <v>N</v>
      </c>
      <c r="Y144" s="27" t="n">
        <f aca="false">IF($A144="","",IFERROR(VLOOKUP(X144,Schichten!$A$5:$G$24,6,FALSE()),0))</f>
        <v>8</v>
      </c>
      <c r="Z144" s="27" t="n">
        <f aca="false">IF($A144="","",IFERROR(VLOOKUP(X144,Schichten!$A$5:$G$24,7,FALSE()),0))</f>
        <v>7</v>
      </c>
      <c r="AA144" s="28" t="n">
        <f aca="false">IF($A144="","",IF(N(Y144)=0,"",$A144+VLOOKUP(X144,Schichten!$A$5:$G$24,3,FALSE())))</f>
        <v>46527.9166666667</v>
      </c>
      <c r="AB144" s="28" t="n">
        <f aca="false">IF(AA144="","",$A144+VLOOKUP(X144,Schichten!$A$5:$G$24,4,FALSE())+IF(VLOOKUP(X144,Schichten!$A$5:$G$24,4,FALSE())&lt;=VLOOKUP(X144,Schichten!$A$5:$G$24,3,FALSE()),1,0))</f>
        <v>46528.25</v>
      </c>
      <c r="AC144" s="28" t="n">
        <f aca="false">IF($A144="","",IF(N(Y143)&gt;0,AB143,AC143))</f>
        <v>46526.9166666667</v>
      </c>
      <c r="AD144" s="27" t="n">
        <f aca="false">IF(OR(AA144="",AC144=""),"",(AA144-AC144)*24)</f>
        <v>24</v>
      </c>
      <c r="AE144" s="21" t="n">
        <f aca="false">IF($A144="","",IF(N(Y144)&gt;0,N(AE143)+1,0))</f>
        <v>5</v>
      </c>
      <c r="AF144" s="21" t="n">
        <f aca="false">IF($A144="","",IF(N(Z144)&gt;0,N(AF143)+1,0))</f>
        <v>1</v>
      </c>
      <c r="AG144" s="21" t="str">
        <f aca="false">IF($A144="","",IF(WEEKDAY($A144,2)&lt;&gt;7,"",IF(AND(OR(AA144="",N(AA144)&gt;=$A144+16/24,N(AB144)&lt;=$A144+6/24),OR(AC144="",N(AC144)&lt;=$A144+6/24)),1,0)))</f>
        <v/>
      </c>
      <c r="AH144" s="26" t="str">
        <f aca="false">IF($A144="","",IF(INDEX(Muster!$C$9:$BF$9,1,MOD($A144-Einstellungen!$C$6,Einstellungen!$C$7)+1)="","-",INDEX(Muster!$C$9:$BF$9,1,MOD($A144-Einstellungen!$C$6,Einstellungen!$C$7)+1)))</f>
        <v>S</v>
      </c>
      <c r="AI144" s="27" t="n">
        <f aca="false">IF($A144="","",IFERROR(VLOOKUP(AH144,Schichten!$A$5:$G$24,6,FALSE()),0))</f>
        <v>8</v>
      </c>
      <c r="AJ144" s="27" t="n">
        <f aca="false">IF($A144="","",IFERROR(VLOOKUP(AH144,Schichten!$A$5:$G$24,7,FALSE()),0))</f>
        <v>0</v>
      </c>
      <c r="AK144" s="28" t="n">
        <f aca="false">IF($A144="","",IF(N(AI144)=0,"",$A144+VLOOKUP(AH144,Schichten!$A$5:$G$24,3,FALSE())))</f>
        <v>46527.5833333333</v>
      </c>
      <c r="AL144" s="28" t="n">
        <f aca="false">IF(AK144="","",$A144+VLOOKUP(AH144,Schichten!$A$5:$G$24,4,FALSE())+IF(VLOOKUP(AH144,Schichten!$A$5:$G$24,4,FALSE())&lt;=VLOOKUP(AH144,Schichten!$A$5:$G$24,3,FALSE()),1,0))</f>
        <v>46527.9166666667</v>
      </c>
      <c r="AM144" s="28" t="n">
        <f aca="false">IF($A144="","",IF(N(AI143)&gt;0,AL143,AM143))</f>
        <v>46526.5833333333</v>
      </c>
      <c r="AN144" s="27" t="n">
        <f aca="false">IF(OR(AK144="",AM144=""),"",(AK144-AM144)*24)</f>
        <v>24</v>
      </c>
      <c r="AO144" s="21" t="n">
        <f aca="false">IF($A144="","",IF(N(AI144)&gt;0,N(AO143)+1,0))</f>
        <v>3</v>
      </c>
      <c r="AP144" s="21" t="n">
        <f aca="false">IF($A144="","",IF(N(AJ144)&gt;0,N(AP143)+1,0))</f>
        <v>0</v>
      </c>
      <c r="AQ144" s="21" t="str">
        <f aca="false">IF($A144="","",IF(WEEKDAY($A144,2)&lt;&gt;7,"",IF(AND(OR(AK144="",N(AK144)&gt;=$A144+16/24,N(AL144)&lt;=$A144+6/24),OR(AM144="",N(AM144)&lt;=$A144+6/24)),1,0)))</f>
        <v/>
      </c>
      <c r="AR144" s="26" t="str">
        <f aca="false">IF($A144="","",IF(INDEX(Muster!$C$10:$BF$10,1,MOD($A144-Einstellungen!$C$6,Einstellungen!$C$7)+1)="","-",INDEX(Muster!$C$10:$BF$10,1,MOD($A144-Einstellungen!$C$6,Einstellungen!$C$7)+1)))</f>
        <v>-</v>
      </c>
      <c r="AS144" s="27" t="n">
        <f aca="false">IF($A144="","",IFERROR(VLOOKUP(AR144,Schichten!$A$5:$G$24,6,FALSE()),0))</f>
        <v>0</v>
      </c>
      <c r="AT144" s="27" t="n">
        <f aca="false">IF($A144="","",IFERROR(VLOOKUP(AR144,Schichten!$A$5:$G$24,7,FALSE()),0))</f>
        <v>0</v>
      </c>
      <c r="AU144" s="28" t="str">
        <f aca="false">IF($A144="","",IF(N(AS144)=0,"",$A144+VLOOKUP(AR144,Schichten!$A$5:$G$24,3,FALSE())))</f>
        <v/>
      </c>
      <c r="AV144" s="28" t="str">
        <f aca="false">IF(AU144="","",$A144+VLOOKUP(AR144,Schichten!$A$5:$G$24,4,FALSE())+IF(VLOOKUP(AR144,Schichten!$A$5:$G$24,4,FALSE())&lt;=VLOOKUP(AR144,Schichten!$A$5:$G$24,3,FALSE()),1,0))</f>
        <v/>
      </c>
      <c r="AW144" s="28" t="str">
        <f aca="false">IF($A144="","",IF(N(AS143)&gt;0,AV143,AW143))</f>
        <v/>
      </c>
      <c r="AX144" s="27" t="str">
        <f aca="false">IF(OR(AU144="",AW144=""),"",(AU144-AW144)*24)</f>
        <v/>
      </c>
      <c r="AY144" s="21" t="n">
        <f aca="false">IF($A144="","",IF(N(AS144)&gt;0,N(AY143)+1,0))</f>
        <v>0</v>
      </c>
      <c r="AZ144" s="21" t="n">
        <f aca="false">IF($A144="","",IF(N(AT144)&gt;0,N(AZ143)+1,0))</f>
        <v>0</v>
      </c>
      <c r="BA144" s="21" t="str">
        <f aca="false">IF($A144="","",IF(WEEKDAY($A144,2)&lt;&gt;7,"",IF(AND(OR(AU144="",N(AU144)&gt;=$A144+16/24,N(AV144)&lt;=$A144+6/24),OR(AW144="",N(AW144)&lt;=$A144+6/24)),1,0)))</f>
        <v/>
      </c>
    </row>
    <row r="145" customFormat="false" ht="15" hidden="false" customHeight="false" outlineLevel="0" collapsed="false">
      <c r="A145" s="25" t="n">
        <f aca="false">IF(YEAR(DATE(Einstellungen!$C$4,1,1)+140)=Einstellungen!$C$4,DATE(Einstellungen!$C$4,1,1)+140,"")</f>
        <v>46528</v>
      </c>
      <c r="B145" s="26" t="str">
        <f aca="false">IF($A145="","",CHOOSE(WEEKDAY($A145,2),"Mo","Di","Mi","Do","Fr","Sa","So"))</f>
        <v>Fr</v>
      </c>
      <c r="C145" s="26" t="n">
        <f aca="false">IF($A145="","",MONTH($A145))</f>
        <v>5</v>
      </c>
      <c r="D145" s="26" t="str">
        <f aca="false">IF($A145="","",IF(INDEX(Muster!$C$6:$BF$6,1,MOD($A145-Einstellungen!$C$6,Einstellungen!$C$7)+1)="","-",INDEX(Muster!$C$6:$BF$6,1,MOD($A145-Einstellungen!$C$6,Einstellungen!$C$7)+1)))</f>
        <v>F</v>
      </c>
      <c r="E145" s="27" t="n">
        <f aca="false">IF($A145="","",IFERROR(VLOOKUP(D145,Schichten!$A$5:$G$24,6,FALSE()),0))</f>
        <v>8</v>
      </c>
      <c r="F145" s="27" t="n">
        <f aca="false">IF($A145="","",IFERROR(VLOOKUP(D145,Schichten!$A$5:$G$24,7,FALSE()),0))</f>
        <v>0</v>
      </c>
      <c r="G145" s="28" t="n">
        <f aca="false">IF($A145="","",IF(N(E145)=0,"",$A145+VLOOKUP(D145,Schichten!$A$5:$G$24,3,FALSE())))</f>
        <v>46528.25</v>
      </c>
      <c r="H145" s="28" t="n">
        <f aca="false">IF(G145="","",$A145+VLOOKUP(D145,Schichten!$A$5:$G$24,4,FALSE())+IF(VLOOKUP(D145,Schichten!$A$5:$G$24,4,FALSE())&lt;=VLOOKUP(D145,Schichten!$A$5:$G$24,3,FALSE()),1,0))</f>
        <v>46528.5833333333</v>
      </c>
      <c r="I145" s="28" t="n">
        <f aca="false">IF($A145="","",IF(N(E144)&gt;0,H144,I144))</f>
        <v>46527.5833333333</v>
      </c>
      <c r="J145" s="27" t="n">
        <f aca="false">IF(OR(G145="",I145=""),"",(G145-I145)*24)</f>
        <v>16</v>
      </c>
      <c r="K145" s="21" t="n">
        <f aca="false">IF($A145="","",IF(N(E145)&gt;0,N(K144)+1,0))</f>
        <v>2</v>
      </c>
      <c r="L145" s="21" t="n">
        <f aca="false">IF($A145="","",IF(N(F145)&gt;0,N(L144)+1,0))</f>
        <v>0</v>
      </c>
      <c r="M145" s="21" t="str">
        <f aca="false">IF($A145="","",IF(WEEKDAY($A145,2)&lt;&gt;7,"",IF(AND(OR(G145="",N(G145)&gt;=$A145+16/24,N(H145)&lt;=$A145+6/24),OR(I145="",N(I145)&lt;=$A145+6/24)),1,0)))</f>
        <v/>
      </c>
      <c r="N145" s="26" t="str">
        <f aca="false">IF($A145="","",IF(INDEX(Muster!$C$7:$BF$7,1,MOD($A145-Einstellungen!$C$6,Einstellungen!$C$7)+1)="","-",INDEX(Muster!$C$7:$BF$7,1,MOD($A145-Einstellungen!$C$6,Einstellungen!$C$7)+1)))</f>
        <v>-</v>
      </c>
      <c r="O145" s="27" t="n">
        <f aca="false">IF($A145="","",IFERROR(VLOOKUP(N145,Schichten!$A$5:$G$24,6,FALSE()),0))</f>
        <v>0</v>
      </c>
      <c r="P145" s="27" t="n">
        <f aca="false">IF($A145="","",IFERROR(VLOOKUP(N145,Schichten!$A$5:$G$24,7,FALSE()),0))</f>
        <v>0</v>
      </c>
      <c r="Q145" s="28" t="str">
        <f aca="false">IF($A145="","",IF(N(O145)=0,"",$A145+VLOOKUP(N145,Schichten!$A$5:$G$24,3,FALSE())))</f>
        <v/>
      </c>
      <c r="R145" s="28" t="str">
        <f aca="false">IF(Q145="","",$A145+VLOOKUP(N145,Schichten!$A$5:$G$24,4,FALSE())+IF(VLOOKUP(N145,Schichten!$A$5:$G$24,4,FALSE())&lt;=VLOOKUP(N145,Schichten!$A$5:$G$24,3,FALSE()),1,0))</f>
        <v/>
      </c>
      <c r="S145" s="28" t="n">
        <f aca="false">IF($A145="","",IF(N(O144)&gt;0,R144,S144))</f>
        <v>46527.25</v>
      </c>
      <c r="T145" s="27" t="str">
        <f aca="false">IF(OR(Q145="",S145=""),"",(Q145-S145)*24)</f>
        <v/>
      </c>
      <c r="U145" s="21" t="n">
        <f aca="false">IF($A145="","",IF(N(O145)&gt;0,N(U144)+1,0))</f>
        <v>0</v>
      </c>
      <c r="V145" s="21" t="n">
        <f aca="false">IF($A145="","",IF(N(P145)&gt;0,N(V144)+1,0))</f>
        <v>0</v>
      </c>
      <c r="W145" s="21" t="str">
        <f aca="false">IF($A145="","",IF(WEEKDAY($A145,2)&lt;&gt;7,"",IF(AND(OR(Q145="",N(Q145)&gt;=$A145+16/24,N(R145)&lt;=$A145+6/24),OR(S145="",N(S145)&lt;=$A145+6/24)),1,0)))</f>
        <v/>
      </c>
      <c r="X145" s="26" t="str">
        <f aca="false">IF($A145="","",IF(INDEX(Muster!$C$8:$BF$8,1,MOD($A145-Einstellungen!$C$6,Einstellungen!$C$7)+1)="","-",INDEX(Muster!$C$8:$BF$8,1,MOD($A145-Einstellungen!$C$6,Einstellungen!$C$7)+1)))</f>
        <v>N</v>
      </c>
      <c r="Y145" s="27" t="n">
        <f aca="false">IF($A145="","",IFERROR(VLOOKUP(X145,Schichten!$A$5:$G$24,6,FALSE()),0))</f>
        <v>8</v>
      </c>
      <c r="Z145" s="27" t="n">
        <f aca="false">IF($A145="","",IFERROR(VLOOKUP(X145,Schichten!$A$5:$G$24,7,FALSE()),0))</f>
        <v>7</v>
      </c>
      <c r="AA145" s="28" t="n">
        <f aca="false">IF($A145="","",IF(N(Y145)=0,"",$A145+VLOOKUP(X145,Schichten!$A$5:$G$24,3,FALSE())))</f>
        <v>46528.9166666667</v>
      </c>
      <c r="AB145" s="28" t="n">
        <f aca="false">IF(AA145="","",$A145+VLOOKUP(X145,Schichten!$A$5:$G$24,4,FALSE())+IF(VLOOKUP(X145,Schichten!$A$5:$G$24,4,FALSE())&lt;=VLOOKUP(X145,Schichten!$A$5:$G$24,3,FALSE()),1,0))</f>
        <v>46529.25</v>
      </c>
      <c r="AC145" s="28" t="n">
        <f aca="false">IF($A145="","",IF(N(Y144)&gt;0,AB144,AC144))</f>
        <v>46528.25</v>
      </c>
      <c r="AD145" s="27" t="n">
        <f aca="false">IF(OR(AA145="",AC145=""),"",(AA145-AC145)*24)</f>
        <v>16</v>
      </c>
      <c r="AE145" s="21" t="n">
        <f aca="false">IF($A145="","",IF(N(Y145)&gt;0,N(AE144)+1,0))</f>
        <v>6</v>
      </c>
      <c r="AF145" s="21" t="n">
        <f aca="false">IF($A145="","",IF(N(Z145)&gt;0,N(AF144)+1,0))</f>
        <v>2</v>
      </c>
      <c r="AG145" s="21" t="str">
        <f aca="false">IF($A145="","",IF(WEEKDAY($A145,2)&lt;&gt;7,"",IF(AND(OR(AA145="",N(AA145)&gt;=$A145+16/24,N(AB145)&lt;=$A145+6/24),OR(AC145="",N(AC145)&lt;=$A145+6/24)),1,0)))</f>
        <v/>
      </c>
      <c r="AH145" s="26" t="str">
        <f aca="false">IF($A145="","",IF(INDEX(Muster!$C$9:$BF$9,1,MOD($A145-Einstellungen!$C$6,Einstellungen!$C$7)+1)="","-",INDEX(Muster!$C$9:$BF$9,1,MOD($A145-Einstellungen!$C$6,Einstellungen!$C$7)+1)))</f>
        <v>S</v>
      </c>
      <c r="AI145" s="27" t="n">
        <f aca="false">IF($A145="","",IFERROR(VLOOKUP(AH145,Schichten!$A$5:$G$24,6,FALSE()),0))</f>
        <v>8</v>
      </c>
      <c r="AJ145" s="27" t="n">
        <f aca="false">IF($A145="","",IFERROR(VLOOKUP(AH145,Schichten!$A$5:$G$24,7,FALSE()),0))</f>
        <v>0</v>
      </c>
      <c r="AK145" s="28" t="n">
        <f aca="false">IF($A145="","",IF(N(AI145)=0,"",$A145+VLOOKUP(AH145,Schichten!$A$5:$G$24,3,FALSE())))</f>
        <v>46528.5833333333</v>
      </c>
      <c r="AL145" s="28" t="n">
        <f aca="false">IF(AK145="","",$A145+VLOOKUP(AH145,Schichten!$A$5:$G$24,4,FALSE())+IF(VLOOKUP(AH145,Schichten!$A$5:$G$24,4,FALSE())&lt;=VLOOKUP(AH145,Schichten!$A$5:$G$24,3,FALSE()),1,0))</f>
        <v>46528.9166666667</v>
      </c>
      <c r="AM145" s="28" t="n">
        <f aca="false">IF($A145="","",IF(N(AI144)&gt;0,AL144,AM144))</f>
        <v>46527.9166666667</v>
      </c>
      <c r="AN145" s="27" t="n">
        <f aca="false">IF(OR(AK145="",AM145=""),"",(AK145-AM145)*24)</f>
        <v>16</v>
      </c>
      <c r="AO145" s="21" t="n">
        <f aca="false">IF($A145="","",IF(N(AI145)&gt;0,N(AO144)+1,0))</f>
        <v>4</v>
      </c>
      <c r="AP145" s="21" t="n">
        <f aca="false">IF($A145="","",IF(N(AJ145)&gt;0,N(AP144)+1,0))</f>
        <v>0</v>
      </c>
      <c r="AQ145" s="21" t="str">
        <f aca="false">IF($A145="","",IF(WEEKDAY($A145,2)&lt;&gt;7,"",IF(AND(OR(AK145="",N(AK145)&gt;=$A145+16/24,N(AL145)&lt;=$A145+6/24),OR(AM145="",N(AM145)&lt;=$A145+6/24)),1,0)))</f>
        <v/>
      </c>
      <c r="AR145" s="26" t="str">
        <f aca="false">IF($A145="","",IF(INDEX(Muster!$C$10:$BF$10,1,MOD($A145-Einstellungen!$C$6,Einstellungen!$C$7)+1)="","-",INDEX(Muster!$C$10:$BF$10,1,MOD($A145-Einstellungen!$C$6,Einstellungen!$C$7)+1)))</f>
        <v>-</v>
      </c>
      <c r="AS145" s="27" t="n">
        <f aca="false">IF($A145="","",IFERROR(VLOOKUP(AR145,Schichten!$A$5:$G$24,6,FALSE()),0))</f>
        <v>0</v>
      </c>
      <c r="AT145" s="27" t="n">
        <f aca="false">IF($A145="","",IFERROR(VLOOKUP(AR145,Schichten!$A$5:$G$24,7,FALSE()),0))</f>
        <v>0</v>
      </c>
      <c r="AU145" s="28" t="str">
        <f aca="false">IF($A145="","",IF(N(AS145)=0,"",$A145+VLOOKUP(AR145,Schichten!$A$5:$G$24,3,FALSE())))</f>
        <v/>
      </c>
      <c r="AV145" s="28" t="str">
        <f aca="false">IF(AU145="","",$A145+VLOOKUP(AR145,Schichten!$A$5:$G$24,4,FALSE())+IF(VLOOKUP(AR145,Schichten!$A$5:$G$24,4,FALSE())&lt;=VLOOKUP(AR145,Schichten!$A$5:$G$24,3,FALSE()),1,0))</f>
        <v/>
      </c>
      <c r="AW145" s="28" t="str">
        <f aca="false">IF($A145="","",IF(N(AS144)&gt;0,AV144,AW144))</f>
        <v/>
      </c>
      <c r="AX145" s="27" t="str">
        <f aca="false">IF(OR(AU145="",AW145=""),"",(AU145-AW145)*24)</f>
        <v/>
      </c>
      <c r="AY145" s="21" t="n">
        <f aca="false">IF($A145="","",IF(N(AS145)&gt;0,N(AY144)+1,0))</f>
        <v>0</v>
      </c>
      <c r="AZ145" s="21" t="n">
        <f aca="false">IF($A145="","",IF(N(AT145)&gt;0,N(AZ144)+1,0))</f>
        <v>0</v>
      </c>
      <c r="BA145" s="21" t="str">
        <f aca="false">IF($A145="","",IF(WEEKDAY($A145,2)&lt;&gt;7,"",IF(AND(OR(AU145="",N(AU145)&gt;=$A145+16/24,N(AV145)&lt;=$A145+6/24),OR(AW145="",N(AW145)&lt;=$A145+6/24)),1,0)))</f>
        <v/>
      </c>
    </row>
    <row r="146" customFormat="false" ht="15" hidden="false" customHeight="false" outlineLevel="0" collapsed="false">
      <c r="A146" s="25" t="n">
        <f aca="false">IF(YEAR(DATE(Einstellungen!$C$4,1,1)+141)=Einstellungen!$C$4,DATE(Einstellungen!$C$4,1,1)+141,"")</f>
        <v>46529</v>
      </c>
      <c r="B146" s="26" t="str">
        <f aca="false">IF($A146="","",CHOOSE(WEEKDAY($A146,2),"Mo","Di","Mi","Do","Fr","Sa","So"))</f>
        <v>Sa</v>
      </c>
      <c r="C146" s="26" t="n">
        <f aca="false">IF($A146="","",MONTH($A146))</f>
        <v>5</v>
      </c>
      <c r="D146" s="26" t="str">
        <f aca="false">IF($A146="","",IF(INDEX(Muster!$C$6:$BF$6,1,MOD($A146-Einstellungen!$C$6,Einstellungen!$C$7)+1)="","-",INDEX(Muster!$C$6:$BF$6,1,MOD($A146-Einstellungen!$C$6,Einstellungen!$C$7)+1)))</f>
        <v>S</v>
      </c>
      <c r="E146" s="27" t="n">
        <f aca="false">IF($A146="","",IFERROR(VLOOKUP(D146,Schichten!$A$5:$G$24,6,FALSE()),0))</f>
        <v>8</v>
      </c>
      <c r="F146" s="27" t="n">
        <f aca="false">IF($A146="","",IFERROR(VLOOKUP(D146,Schichten!$A$5:$G$24,7,FALSE()),0))</f>
        <v>0</v>
      </c>
      <c r="G146" s="28" t="n">
        <f aca="false">IF($A146="","",IF(N(E146)=0,"",$A146+VLOOKUP(D146,Schichten!$A$5:$G$24,3,FALSE())))</f>
        <v>46529.5833333333</v>
      </c>
      <c r="H146" s="28" t="n">
        <f aca="false">IF(G146="","",$A146+VLOOKUP(D146,Schichten!$A$5:$G$24,4,FALSE())+IF(VLOOKUP(D146,Schichten!$A$5:$G$24,4,FALSE())&lt;=VLOOKUP(D146,Schichten!$A$5:$G$24,3,FALSE()),1,0))</f>
        <v>46529.9166666667</v>
      </c>
      <c r="I146" s="28" t="n">
        <f aca="false">IF($A146="","",IF(N(E145)&gt;0,H145,I145))</f>
        <v>46528.5833333333</v>
      </c>
      <c r="J146" s="27" t="n">
        <f aca="false">IF(OR(G146="",I146=""),"",(G146-I146)*24)</f>
        <v>24</v>
      </c>
      <c r="K146" s="21" t="n">
        <f aca="false">IF($A146="","",IF(N(E146)&gt;0,N(K145)+1,0))</f>
        <v>3</v>
      </c>
      <c r="L146" s="21" t="n">
        <f aca="false">IF($A146="","",IF(N(F146)&gt;0,N(L145)+1,0))</f>
        <v>0</v>
      </c>
      <c r="M146" s="21" t="str">
        <f aca="false">IF($A146="","",IF(WEEKDAY($A146,2)&lt;&gt;7,"",IF(AND(OR(G146="",N(G146)&gt;=$A146+16/24,N(H146)&lt;=$A146+6/24),OR(I146="",N(I146)&lt;=$A146+6/24)),1,0)))</f>
        <v/>
      </c>
      <c r="N146" s="26" t="str">
        <f aca="false">IF($A146="","",IF(INDEX(Muster!$C$7:$BF$7,1,MOD($A146-Einstellungen!$C$6,Einstellungen!$C$7)+1)="","-",INDEX(Muster!$C$7:$BF$7,1,MOD($A146-Einstellungen!$C$6,Einstellungen!$C$7)+1)))</f>
        <v>F</v>
      </c>
      <c r="O146" s="27" t="n">
        <f aca="false">IF($A146="","",IFERROR(VLOOKUP(N146,Schichten!$A$5:$G$24,6,FALSE()),0))</f>
        <v>8</v>
      </c>
      <c r="P146" s="27" t="n">
        <f aca="false">IF($A146="","",IFERROR(VLOOKUP(N146,Schichten!$A$5:$G$24,7,FALSE()),0))</f>
        <v>0</v>
      </c>
      <c r="Q146" s="28" t="n">
        <f aca="false">IF($A146="","",IF(N(O146)=0,"",$A146+VLOOKUP(N146,Schichten!$A$5:$G$24,3,FALSE())))</f>
        <v>46529.25</v>
      </c>
      <c r="R146" s="28" t="n">
        <f aca="false">IF(Q146="","",$A146+VLOOKUP(N146,Schichten!$A$5:$G$24,4,FALSE())+IF(VLOOKUP(N146,Schichten!$A$5:$G$24,4,FALSE())&lt;=VLOOKUP(N146,Schichten!$A$5:$G$24,3,FALSE()),1,0))</f>
        <v>46529.5833333333</v>
      </c>
      <c r="S146" s="28" t="n">
        <f aca="false">IF($A146="","",IF(N(O145)&gt;0,R145,S145))</f>
        <v>46527.25</v>
      </c>
      <c r="T146" s="27" t="n">
        <f aca="false">IF(OR(Q146="",S146=""),"",(Q146-S146)*24)</f>
        <v>48</v>
      </c>
      <c r="U146" s="21" t="n">
        <f aca="false">IF($A146="","",IF(N(O146)&gt;0,N(U145)+1,0))</f>
        <v>1</v>
      </c>
      <c r="V146" s="21" t="n">
        <f aca="false">IF($A146="","",IF(N(P146)&gt;0,N(V145)+1,0))</f>
        <v>0</v>
      </c>
      <c r="W146" s="21" t="str">
        <f aca="false">IF($A146="","",IF(WEEKDAY($A146,2)&lt;&gt;7,"",IF(AND(OR(Q146="",N(Q146)&gt;=$A146+16/24,N(R146)&lt;=$A146+6/24),OR(S146="",N(S146)&lt;=$A146+6/24)),1,0)))</f>
        <v/>
      </c>
      <c r="X146" s="26" t="str">
        <f aca="false">IF($A146="","",IF(INDEX(Muster!$C$8:$BF$8,1,MOD($A146-Einstellungen!$C$6,Einstellungen!$C$7)+1)="","-",INDEX(Muster!$C$8:$BF$8,1,MOD($A146-Einstellungen!$C$6,Einstellungen!$C$7)+1)))</f>
        <v>-</v>
      </c>
      <c r="Y146" s="27" t="n">
        <f aca="false">IF($A146="","",IFERROR(VLOOKUP(X146,Schichten!$A$5:$G$24,6,FALSE()),0))</f>
        <v>0</v>
      </c>
      <c r="Z146" s="27" t="n">
        <f aca="false">IF($A146="","",IFERROR(VLOOKUP(X146,Schichten!$A$5:$G$24,7,FALSE()),0))</f>
        <v>0</v>
      </c>
      <c r="AA146" s="28" t="str">
        <f aca="false">IF($A146="","",IF(N(Y146)=0,"",$A146+VLOOKUP(X146,Schichten!$A$5:$G$24,3,FALSE())))</f>
        <v/>
      </c>
      <c r="AB146" s="28" t="str">
        <f aca="false">IF(AA146="","",$A146+VLOOKUP(X146,Schichten!$A$5:$G$24,4,FALSE())+IF(VLOOKUP(X146,Schichten!$A$5:$G$24,4,FALSE())&lt;=VLOOKUP(X146,Schichten!$A$5:$G$24,3,FALSE()),1,0))</f>
        <v/>
      </c>
      <c r="AC146" s="28" t="n">
        <f aca="false">IF($A146="","",IF(N(Y145)&gt;0,AB145,AC145))</f>
        <v>46529.25</v>
      </c>
      <c r="AD146" s="27" t="str">
        <f aca="false">IF(OR(AA146="",AC146=""),"",(AA146-AC146)*24)</f>
        <v/>
      </c>
      <c r="AE146" s="21" t="n">
        <f aca="false">IF($A146="","",IF(N(Y146)&gt;0,N(AE145)+1,0))</f>
        <v>0</v>
      </c>
      <c r="AF146" s="21" t="n">
        <f aca="false">IF($A146="","",IF(N(Z146)&gt;0,N(AF145)+1,0))</f>
        <v>0</v>
      </c>
      <c r="AG146" s="21" t="str">
        <f aca="false">IF($A146="","",IF(WEEKDAY($A146,2)&lt;&gt;7,"",IF(AND(OR(AA146="",N(AA146)&gt;=$A146+16/24,N(AB146)&lt;=$A146+6/24),OR(AC146="",N(AC146)&lt;=$A146+6/24)),1,0)))</f>
        <v/>
      </c>
      <c r="AH146" s="26" t="str">
        <f aca="false">IF($A146="","",IF(INDEX(Muster!$C$9:$BF$9,1,MOD($A146-Einstellungen!$C$6,Einstellungen!$C$7)+1)="","-",INDEX(Muster!$C$9:$BF$9,1,MOD($A146-Einstellungen!$C$6,Einstellungen!$C$7)+1)))</f>
        <v>N</v>
      </c>
      <c r="AI146" s="27" t="n">
        <f aca="false">IF($A146="","",IFERROR(VLOOKUP(AH146,Schichten!$A$5:$G$24,6,FALSE()),0))</f>
        <v>8</v>
      </c>
      <c r="AJ146" s="27" t="n">
        <f aca="false">IF($A146="","",IFERROR(VLOOKUP(AH146,Schichten!$A$5:$G$24,7,FALSE()),0))</f>
        <v>7</v>
      </c>
      <c r="AK146" s="28" t="n">
        <f aca="false">IF($A146="","",IF(N(AI146)=0,"",$A146+VLOOKUP(AH146,Schichten!$A$5:$G$24,3,FALSE())))</f>
        <v>46529.9166666667</v>
      </c>
      <c r="AL146" s="28" t="n">
        <f aca="false">IF(AK146="","",$A146+VLOOKUP(AH146,Schichten!$A$5:$G$24,4,FALSE())+IF(VLOOKUP(AH146,Schichten!$A$5:$G$24,4,FALSE())&lt;=VLOOKUP(AH146,Schichten!$A$5:$G$24,3,FALSE()),1,0))</f>
        <v>46530.25</v>
      </c>
      <c r="AM146" s="28" t="n">
        <f aca="false">IF($A146="","",IF(N(AI145)&gt;0,AL145,AM145))</f>
        <v>46528.9166666667</v>
      </c>
      <c r="AN146" s="27" t="n">
        <f aca="false">IF(OR(AK146="",AM146=""),"",(AK146-AM146)*24)</f>
        <v>24</v>
      </c>
      <c r="AO146" s="21" t="n">
        <f aca="false">IF($A146="","",IF(N(AI146)&gt;0,N(AO145)+1,0))</f>
        <v>5</v>
      </c>
      <c r="AP146" s="21" t="n">
        <f aca="false">IF($A146="","",IF(N(AJ146)&gt;0,N(AP145)+1,0))</f>
        <v>1</v>
      </c>
      <c r="AQ146" s="21" t="str">
        <f aca="false">IF($A146="","",IF(WEEKDAY($A146,2)&lt;&gt;7,"",IF(AND(OR(AK146="",N(AK146)&gt;=$A146+16/24,N(AL146)&lt;=$A146+6/24),OR(AM146="",N(AM146)&lt;=$A146+6/24)),1,0)))</f>
        <v/>
      </c>
      <c r="AR146" s="26" t="str">
        <f aca="false">IF($A146="","",IF(INDEX(Muster!$C$10:$BF$10,1,MOD($A146-Einstellungen!$C$6,Einstellungen!$C$7)+1)="","-",INDEX(Muster!$C$10:$BF$10,1,MOD($A146-Einstellungen!$C$6,Einstellungen!$C$7)+1)))</f>
        <v>-</v>
      </c>
      <c r="AS146" s="27" t="n">
        <f aca="false">IF($A146="","",IFERROR(VLOOKUP(AR146,Schichten!$A$5:$G$24,6,FALSE()),0))</f>
        <v>0</v>
      </c>
      <c r="AT146" s="27" t="n">
        <f aca="false">IF($A146="","",IFERROR(VLOOKUP(AR146,Schichten!$A$5:$G$24,7,FALSE()),0))</f>
        <v>0</v>
      </c>
      <c r="AU146" s="28" t="str">
        <f aca="false">IF($A146="","",IF(N(AS146)=0,"",$A146+VLOOKUP(AR146,Schichten!$A$5:$G$24,3,FALSE())))</f>
        <v/>
      </c>
      <c r="AV146" s="28" t="str">
        <f aca="false">IF(AU146="","",$A146+VLOOKUP(AR146,Schichten!$A$5:$G$24,4,FALSE())+IF(VLOOKUP(AR146,Schichten!$A$5:$G$24,4,FALSE())&lt;=VLOOKUP(AR146,Schichten!$A$5:$G$24,3,FALSE()),1,0))</f>
        <v/>
      </c>
      <c r="AW146" s="28" t="str">
        <f aca="false">IF($A146="","",IF(N(AS145)&gt;0,AV145,AW145))</f>
        <v/>
      </c>
      <c r="AX146" s="27" t="str">
        <f aca="false">IF(OR(AU146="",AW146=""),"",(AU146-AW146)*24)</f>
        <v/>
      </c>
      <c r="AY146" s="21" t="n">
        <f aca="false">IF($A146="","",IF(N(AS146)&gt;0,N(AY145)+1,0))</f>
        <v>0</v>
      </c>
      <c r="AZ146" s="21" t="n">
        <f aca="false">IF($A146="","",IF(N(AT146)&gt;0,N(AZ145)+1,0))</f>
        <v>0</v>
      </c>
      <c r="BA146" s="21" t="str">
        <f aca="false">IF($A146="","",IF(WEEKDAY($A146,2)&lt;&gt;7,"",IF(AND(OR(AU146="",N(AU146)&gt;=$A146+16/24,N(AV146)&lt;=$A146+6/24),OR(AW146="",N(AW146)&lt;=$A146+6/24)),1,0)))</f>
        <v/>
      </c>
    </row>
    <row r="147" customFormat="false" ht="15" hidden="false" customHeight="false" outlineLevel="0" collapsed="false">
      <c r="A147" s="25" t="n">
        <f aca="false">IF(YEAR(DATE(Einstellungen!$C$4,1,1)+142)=Einstellungen!$C$4,DATE(Einstellungen!$C$4,1,1)+142,"")</f>
        <v>46530</v>
      </c>
      <c r="B147" s="26" t="str">
        <f aca="false">IF($A147="","",CHOOSE(WEEKDAY($A147,2),"Mo","Di","Mi","Do","Fr","Sa","So"))</f>
        <v>So</v>
      </c>
      <c r="C147" s="26" t="n">
        <f aca="false">IF($A147="","",MONTH($A147))</f>
        <v>5</v>
      </c>
      <c r="D147" s="26" t="str">
        <f aca="false">IF($A147="","",IF(INDEX(Muster!$C$6:$BF$6,1,MOD($A147-Einstellungen!$C$6,Einstellungen!$C$7)+1)="","-",INDEX(Muster!$C$6:$BF$6,1,MOD($A147-Einstellungen!$C$6,Einstellungen!$C$7)+1)))</f>
        <v>S</v>
      </c>
      <c r="E147" s="27" t="n">
        <f aca="false">IF($A147="","",IFERROR(VLOOKUP(D147,Schichten!$A$5:$G$24,6,FALSE()),0))</f>
        <v>8</v>
      </c>
      <c r="F147" s="27" t="n">
        <f aca="false">IF($A147="","",IFERROR(VLOOKUP(D147,Schichten!$A$5:$G$24,7,FALSE()),0))</f>
        <v>0</v>
      </c>
      <c r="G147" s="28" t="n">
        <f aca="false">IF($A147="","",IF(N(E147)=0,"",$A147+VLOOKUP(D147,Schichten!$A$5:$G$24,3,FALSE())))</f>
        <v>46530.5833333333</v>
      </c>
      <c r="H147" s="28" t="n">
        <f aca="false">IF(G147="","",$A147+VLOOKUP(D147,Schichten!$A$5:$G$24,4,FALSE())+IF(VLOOKUP(D147,Schichten!$A$5:$G$24,4,FALSE())&lt;=VLOOKUP(D147,Schichten!$A$5:$G$24,3,FALSE()),1,0))</f>
        <v>46530.9166666667</v>
      </c>
      <c r="I147" s="28" t="n">
        <f aca="false">IF($A147="","",IF(N(E146)&gt;0,H146,I146))</f>
        <v>46529.9166666667</v>
      </c>
      <c r="J147" s="27" t="n">
        <f aca="false">IF(OR(G147="",I147=""),"",(G147-I147)*24)</f>
        <v>16</v>
      </c>
      <c r="K147" s="21" t="n">
        <f aca="false">IF($A147="","",IF(N(E147)&gt;0,N(K146)+1,0))</f>
        <v>4</v>
      </c>
      <c r="L147" s="21" t="n">
        <f aca="false">IF($A147="","",IF(N(F147)&gt;0,N(L146)+1,0))</f>
        <v>0</v>
      </c>
      <c r="M147" s="21" t="n">
        <f aca="false">IF($A147="","",IF(WEEKDAY($A147,2)&lt;&gt;7,"",IF(AND(OR(G147="",N(G147)&gt;=$A147+16/24,N(H147)&lt;=$A147+6/24),OR(I147="",N(I147)&lt;=$A147+6/24)),1,0)))</f>
        <v>0</v>
      </c>
      <c r="N147" s="26" t="str">
        <f aca="false">IF($A147="","",IF(INDEX(Muster!$C$7:$BF$7,1,MOD($A147-Einstellungen!$C$6,Einstellungen!$C$7)+1)="","-",INDEX(Muster!$C$7:$BF$7,1,MOD($A147-Einstellungen!$C$6,Einstellungen!$C$7)+1)))</f>
        <v>F</v>
      </c>
      <c r="O147" s="27" t="n">
        <f aca="false">IF($A147="","",IFERROR(VLOOKUP(N147,Schichten!$A$5:$G$24,6,FALSE()),0))</f>
        <v>8</v>
      </c>
      <c r="P147" s="27" t="n">
        <f aca="false">IF($A147="","",IFERROR(VLOOKUP(N147,Schichten!$A$5:$G$24,7,FALSE()),0))</f>
        <v>0</v>
      </c>
      <c r="Q147" s="28" t="n">
        <f aca="false">IF($A147="","",IF(N(O147)=0,"",$A147+VLOOKUP(N147,Schichten!$A$5:$G$24,3,FALSE())))</f>
        <v>46530.25</v>
      </c>
      <c r="R147" s="28" t="n">
        <f aca="false">IF(Q147="","",$A147+VLOOKUP(N147,Schichten!$A$5:$G$24,4,FALSE())+IF(VLOOKUP(N147,Schichten!$A$5:$G$24,4,FALSE())&lt;=VLOOKUP(N147,Schichten!$A$5:$G$24,3,FALSE()),1,0))</f>
        <v>46530.5833333333</v>
      </c>
      <c r="S147" s="28" t="n">
        <f aca="false">IF($A147="","",IF(N(O146)&gt;0,R146,S146))</f>
        <v>46529.5833333333</v>
      </c>
      <c r="T147" s="27" t="n">
        <f aca="false">IF(OR(Q147="",S147=""),"",(Q147-S147)*24)</f>
        <v>16</v>
      </c>
      <c r="U147" s="21" t="n">
        <f aca="false">IF($A147="","",IF(N(O147)&gt;0,N(U146)+1,0))</f>
        <v>2</v>
      </c>
      <c r="V147" s="21" t="n">
        <f aca="false">IF($A147="","",IF(N(P147)&gt;0,N(V146)+1,0))</f>
        <v>0</v>
      </c>
      <c r="W147" s="21" t="n">
        <f aca="false">IF($A147="","",IF(WEEKDAY($A147,2)&lt;&gt;7,"",IF(AND(OR(Q147="",N(Q147)&gt;=$A147+16/24,N(R147)&lt;=$A147+6/24),OR(S147="",N(S147)&lt;=$A147+6/24)),1,0)))</f>
        <v>0</v>
      </c>
      <c r="X147" s="26" t="str">
        <f aca="false">IF($A147="","",IF(INDEX(Muster!$C$8:$BF$8,1,MOD($A147-Einstellungen!$C$6,Einstellungen!$C$7)+1)="","-",INDEX(Muster!$C$8:$BF$8,1,MOD($A147-Einstellungen!$C$6,Einstellungen!$C$7)+1)))</f>
        <v>-</v>
      </c>
      <c r="Y147" s="27" t="n">
        <f aca="false">IF($A147="","",IFERROR(VLOOKUP(X147,Schichten!$A$5:$G$24,6,FALSE()),0))</f>
        <v>0</v>
      </c>
      <c r="Z147" s="27" t="n">
        <f aca="false">IF($A147="","",IFERROR(VLOOKUP(X147,Schichten!$A$5:$G$24,7,FALSE()),0))</f>
        <v>0</v>
      </c>
      <c r="AA147" s="28" t="str">
        <f aca="false">IF($A147="","",IF(N(Y147)=0,"",$A147+VLOOKUP(X147,Schichten!$A$5:$G$24,3,FALSE())))</f>
        <v/>
      </c>
      <c r="AB147" s="28" t="str">
        <f aca="false">IF(AA147="","",$A147+VLOOKUP(X147,Schichten!$A$5:$G$24,4,FALSE())+IF(VLOOKUP(X147,Schichten!$A$5:$G$24,4,FALSE())&lt;=VLOOKUP(X147,Schichten!$A$5:$G$24,3,FALSE()),1,0))</f>
        <v/>
      </c>
      <c r="AC147" s="28" t="n">
        <f aca="false">IF($A147="","",IF(N(Y146)&gt;0,AB146,AC146))</f>
        <v>46529.25</v>
      </c>
      <c r="AD147" s="27" t="str">
        <f aca="false">IF(OR(AA147="",AC147=""),"",(AA147-AC147)*24)</f>
        <v/>
      </c>
      <c r="AE147" s="21" t="n">
        <f aca="false">IF($A147="","",IF(N(Y147)&gt;0,N(AE146)+1,0))</f>
        <v>0</v>
      </c>
      <c r="AF147" s="21" t="n">
        <f aca="false">IF($A147="","",IF(N(Z147)&gt;0,N(AF146)+1,0))</f>
        <v>0</v>
      </c>
      <c r="AG147" s="21" t="n">
        <f aca="false">IF($A147="","",IF(WEEKDAY($A147,2)&lt;&gt;7,"",IF(AND(OR(AA147="",N(AA147)&gt;=$A147+16/24,N(AB147)&lt;=$A147+6/24),OR(AC147="",N(AC147)&lt;=$A147+6/24)),1,0)))</f>
        <v>1</v>
      </c>
      <c r="AH147" s="26" t="str">
        <f aca="false">IF($A147="","",IF(INDEX(Muster!$C$9:$BF$9,1,MOD($A147-Einstellungen!$C$6,Einstellungen!$C$7)+1)="","-",INDEX(Muster!$C$9:$BF$9,1,MOD($A147-Einstellungen!$C$6,Einstellungen!$C$7)+1)))</f>
        <v>N</v>
      </c>
      <c r="AI147" s="27" t="n">
        <f aca="false">IF($A147="","",IFERROR(VLOOKUP(AH147,Schichten!$A$5:$G$24,6,FALSE()),0))</f>
        <v>8</v>
      </c>
      <c r="AJ147" s="27" t="n">
        <f aca="false">IF($A147="","",IFERROR(VLOOKUP(AH147,Schichten!$A$5:$G$24,7,FALSE()),0))</f>
        <v>7</v>
      </c>
      <c r="AK147" s="28" t="n">
        <f aca="false">IF($A147="","",IF(N(AI147)=0,"",$A147+VLOOKUP(AH147,Schichten!$A$5:$G$24,3,FALSE())))</f>
        <v>46530.9166666667</v>
      </c>
      <c r="AL147" s="28" t="n">
        <f aca="false">IF(AK147="","",$A147+VLOOKUP(AH147,Schichten!$A$5:$G$24,4,FALSE())+IF(VLOOKUP(AH147,Schichten!$A$5:$G$24,4,FALSE())&lt;=VLOOKUP(AH147,Schichten!$A$5:$G$24,3,FALSE()),1,0))</f>
        <v>46531.25</v>
      </c>
      <c r="AM147" s="28" t="n">
        <f aca="false">IF($A147="","",IF(N(AI146)&gt;0,AL146,AM146))</f>
        <v>46530.25</v>
      </c>
      <c r="AN147" s="27" t="n">
        <f aca="false">IF(OR(AK147="",AM147=""),"",(AK147-AM147)*24)</f>
        <v>16</v>
      </c>
      <c r="AO147" s="21" t="n">
        <f aca="false">IF($A147="","",IF(N(AI147)&gt;0,N(AO146)+1,0))</f>
        <v>6</v>
      </c>
      <c r="AP147" s="21" t="n">
        <f aca="false">IF($A147="","",IF(N(AJ147)&gt;0,N(AP146)+1,0))</f>
        <v>2</v>
      </c>
      <c r="AQ147" s="21" t="n">
        <f aca="false">IF($A147="","",IF(WEEKDAY($A147,2)&lt;&gt;7,"",IF(AND(OR(AK147="",N(AK147)&gt;=$A147+16/24,N(AL147)&lt;=$A147+6/24),OR(AM147="",N(AM147)&lt;=$A147+6/24)),1,0)))</f>
        <v>1</v>
      </c>
      <c r="AR147" s="26" t="str">
        <f aca="false">IF($A147="","",IF(INDEX(Muster!$C$10:$BF$10,1,MOD($A147-Einstellungen!$C$6,Einstellungen!$C$7)+1)="","-",INDEX(Muster!$C$10:$BF$10,1,MOD($A147-Einstellungen!$C$6,Einstellungen!$C$7)+1)))</f>
        <v>-</v>
      </c>
      <c r="AS147" s="27" t="n">
        <f aca="false">IF($A147="","",IFERROR(VLOOKUP(AR147,Schichten!$A$5:$G$24,6,FALSE()),0))</f>
        <v>0</v>
      </c>
      <c r="AT147" s="27" t="n">
        <f aca="false">IF($A147="","",IFERROR(VLOOKUP(AR147,Schichten!$A$5:$G$24,7,FALSE()),0))</f>
        <v>0</v>
      </c>
      <c r="AU147" s="28" t="str">
        <f aca="false">IF($A147="","",IF(N(AS147)=0,"",$A147+VLOOKUP(AR147,Schichten!$A$5:$G$24,3,FALSE())))</f>
        <v/>
      </c>
      <c r="AV147" s="28" t="str">
        <f aca="false">IF(AU147="","",$A147+VLOOKUP(AR147,Schichten!$A$5:$G$24,4,FALSE())+IF(VLOOKUP(AR147,Schichten!$A$5:$G$24,4,FALSE())&lt;=VLOOKUP(AR147,Schichten!$A$5:$G$24,3,FALSE()),1,0))</f>
        <v/>
      </c>
      <c r="AW147" s="28" t="str">
        <f aca="false">IF($A147="","",IF(N(AS146)&gt;0,AV146,AW146))</f>
        <v/>
      </c>
      <c r="AX147" s="27" t="str">
        <f aca="false">IF(OR(AU147="",AW147=""),"",(AU147-AW147)*24)</f>
        <v/>
      </c>
      <c r="AY147" s="21" t="n">
        <f aca="false">IF($A147="","",IF(N(AS147)&gt;0,N(AY146)+1,0))</f>
        <v>0</v>
      </c>
      <c r="AZ147" s="21" t="n">
        <f aca="false">IF($A147="","",IF(N(AT147)&gt;0,N(AZ146)+1,0))</f>
        <v>0</v>
      </c>
      <c r="BA147" s="21" t="n">
        <f aca="false">IF($A147="","",IF(WEEKDAY($A147,2)&lt;&gt;7,"",IF(AND(OR(AU147="",N(AU147)&gt;=$A147+16/24,N(AV147)&lt;=$A147+6/24),OR(AW147="",N(AW147)&lt;=$A147+6/24)),1,0)))</f>
        <v>1</v>
      </c>
    </row>
    <row r="148" customFormat="false" ht="15" hidden="false" customHeight="false" outlineLevel="0" collapsed="false">
      <c r="A148" s="25" t="n">
        <f aca="false">IF(YEAR(DATE(Einstellungen!$C$4,1,1)+143)=Einstellungen!$C$4,DATE(Einstellungen!$C$4,1,1)+143,"")</f>
        <v>46531</v>
      </c>
      <c r="B148" s="26" t="str">
        <f aca="false">IF($A148="","",CHOOSE(WEEKDAY($A148,2),"Mo","Di","Mi","Do","Fr","Sa","So"))</f>
        <v>Mo</v>
      </c>
      <c r="C148" s="26" t="n">
        <f aca="false">IF($A148="","",MONTH($A148))</f>
        <v>5</v>
      </c>
      <c r="D148" s="26" t="str">
        <f aca="false">IF($A148="","",IF(INDEX(Muster!$C$6:$BF$6,1,MOD($A148-Einstellungen!$C$6,Einstellungen!$C$7)+1)="","-",INDEX(Muster!$C$6:$BF$6,1,MOD($A148-Einstellungen!$C$6,Einstellungen!$C$7)+1)))</f>
        <v>N</v>
      </c>
      <c r="E148" s="27" t="n">
        <f aca="false">IF($A148="","",IFERROR(VLOOKUP(D148,Schichten!$A$5:$G$24,6,FALSE()),0))</f>
        <v>8</v>
      </c>
      <c r="F148" s="27" t="n">
        <f aca="false">IF($A148="","",IFERROR(VLOOKUP(D148,Schichten!$A$5:$G$24,7,FALSE()),0))</f>
        <v>7</v>
      </c>
      <c r="G148" s="28" t="n">
        <f aca="false">IF($A148="","",IF(N(E148)=0,"",$A148+VLOOKUP(D148,Schichten!$A$5:$G$24,3,FALSE())))</f>
        <v>46531.9166666667</v>
      </c>
      <c r="H148" s="28" t="n">
        <f aca="false">IF(G148="","",$A148+VLOOKUP(D148,Schichten!$A$5:$G$24,4,FALSE())+IF(VLOOKUP(D148,Schichten!$A$5:$G$24,4,FALSE())&lt;=VLOOKUP(D148,Schichten!$A$5:$G$24,3,FALSE()),1,0))</f>
        <v>46532.25</v>
      </c>
      <c r="I148" s="28" t="n">
        <f aca="false">IF($A148="","",IF(N(E147)&gt;0,H147,I147))</f>
        <v>46530.9166666667</v>
      </c>
      <c r="J148" s="27" t="n">
        <f aca="false">IF(OR(G148="",I148=""),"",(G148-I148)*24)</f>
        <v>24</v>
      </c>
      <c r="K148" s="21" t="n">
        <f aca="false">IF($A148="","",IF(N(E148)&gt;0,N(K147)+1,0))</f>
        <v>5</v>
      </c>
      <c r="L148" s="21" t="n">
        <f aca="false">IF($A148="","",IF(N(F148)&gt;0,N(L147)+1,0))</f>
        <v>1</v>
      </c>
      <c r="M148" s="21" t="str">
        <f aca="false">IF($A148="","",IF(WEEKDAY($A148,2)&lt;&gt;7,"",IF(AND(OR(G148="",N(G148)&gt;=$A148+16/24,N(H148)&lt;=$A148+6/24),OR(I148="",N(I148)&lt;=$A148+6/24)),1,0)))</f>
        <v/>
      </c>
      <c r="N148" s="26" t="str">
        <f aca="false">IF($A148="","",IF(INDEX(Muster!$C$7:$BF$7,1,MOD($A148-Einstellungen!$C$6,Einstellungen!$C$7)+1)="","-",INDEX(Muster!$C$7:$BF$7,1,MOD($A148-Einstellungen!$C$6,Einstellungen!$C$7)+1)))</f>
        <v>S</v>
      </c>
      <c r="O148" s="27" t="n">
        <f aca="false">IF($A148="","",IFERROR(VLOOKUP(N148,Schichten!$A$5:$G$24,6,FALSE()),0))</f>
        <v>8</v>
      </c>
      <c r="P148" s="27" t="n">
        <f aca="false">IF($A148="","",IFERROR(VLOOKUP(N148,Schichten!$A$5:$G$24,7,FALSE()),0))</f>
        <v>0</v>
      </c>
      <c r="Q148" s="28" t="n">
        <f aca="false">IF($A148="","",IF(N(O148)=0,"",$A148+VLOOKUP(N148,Schichten!$A$5:$G$24,3,FALSE())))</f>
        <v>46531.5833333333</v>
      </c>
      <c r="R148" s="28" t="n">
        <f aca="false">IF(Q148="","",$A148+VLOOKUP(N148,Schichten!$A$5:$G$24,4,FALSE())+IF(VLOOKUP(N148,Schichten!$A$5:$G$24,4,FALSE())&lt;=VLOOKUP(N148,Schichten!$A$5:$G$24,3,FALSE()),1,0))</f>
        <v>46531.9166666667</v>
      </c>
      <c r="S148" s="28" t="n">
        <f aca="false">IF($A148="","",IF(N(O147)&gt;0,R147,S147))</f>
        <v>46530.5833333333</v>
      </c>
      <c r="T148" s="27" t="n">
        <f aca="false">IF(OR(Q148="",S148=""),"",(Q148-S148)*24)</f>
        <v>24</v>
      </c>
      <c r="U148" s="21" t="n">
        <f aca="false">IF($A148="","",IF(N(O148)&gt;0,N(U147)+1,0))</f>
        <v>3</v>
      </c>
      <c r="V148" s="21" t="n">
        <f aca="false">IF($A148="","",IF(N(P148)&gt;0,N(V147)+1,0))</f>
        <v>0</v>
      </c>
      <c r="W148" s="21" t="str">
        <f aca="false">IF($A148="","",IF(WEEKDAY($A148,2)&lt;&gt;7,"",IF(AND(OR(Q148="",N(Q148)&gt;=$A148+16/24,N(R148)&lt;=$A148+6/24),OR(S148="",N(S148)&lt;=$A148+6/24)),1,0)))</f>
        <v/>
      </c>
      <c r="X148" s="26" t="str">
        <f aca="false">IF($A148="","",IF(INDEX(Muster!$C$8:$BF$8,1,MOD($A148-Einstellungen!$C$6,Einstellungen!$C$7)+1)="","-",INDEX(Muster!$C$8:$BF$8,1,MOD($A148-Einstellungen!$C$6,Einstellungen!$C$7)+1)))</f>
        <v>F</v>
      </c>
      <c r="Y148" s="27" t="n">
        <f aca="false">IF($A148="","",IFERROR(VLOOKUP(X148,Schichten!$A$5:$G$24,6,FALSE()),0))</f>
        <v>8</v>
      </c>
      <c r="Z148" s="27" t="n">
        <f aca="false">IF($A148="","",IFERROR(VLOOKUP(X148,Schichten!$A$5:$G$24,7,FALSE()),0))</f>
        <v>0</v>
      </c>
      <c r="AA148" s="28" t="n">
        <f aca="false">IF($A148="","",IF(N(Y148)=0,"",$A148+VLOOKUP(X148,Schichten!$A$5:$G$24,3,FALSE())))</f>
        <v>46531.25</v>
      </c>
      <c r="AB148" s="28" t="n">
        <f aca="false">IF(AA148="","",$A148+VLOOKUP(X148,Schichten!$A$5:$G$24,4,FALSE())+IF(VLOOKUP(X148,Schichten!$A$5:$G$24,4,FALSE())&lt;=VLOOKUP(X148,Schichten!$A$5:$G$24,3,FALSE()),1,0))</f>
        <v>46531.5833333333</v>
      </c>
      <c r="AC148" s="28" t="n">
        <f aca="false">IF($A148="","",IF(N(Y147)&gt;0,AB147,AC147))</f>
        <v>46529.25</v>
      </c>
      <c r="AD148" s="27" t="n">
        <f aca="false">IF(OR(AA148="",AC148=""),"",(AA148-AC148)*24)</f>
        <v>48</v>
      </c>
      <c r="AE148" s="21" t="n">
        <f aca="false">IF($A148="","",IF(N(Y148)&gt;0,N(AE147)+1,0))</f>
        <v>1</v>
      </c>
      <c r="AF148" s="21" t="n">
        <f aca="false">IF($A148="","",IF(N(Z148)&gt;0,N(AF147)+1,0))</f>
        <v>0</v>
      </c>
      <c r="AG148" s="21" t="str">
        <f aca="false">IF($A148="","",IF(WEEKDAY($A148,2)&lt;&gt;7,"",IF(AND(OR(AA148="",N(AA148)&gt;=$A148+16/24,N(AB148)&lt;=$A148+6/24),OR(AC148="",N(AC148)&lt;=$A148+6/24)),1,0)))</f>
        <v/>
      </c>
      <c r="AH148" s="26" t="str">
        <f aca="false">IF($A148="","",IF(INDEX(Muster!$C$9:$BF$9,1,MOD($A148-Einstellungen!$C$6,Einstellungen!$C$7)+1)="","-",INDEX(Muster!$C$9:$BF$9,1,MOD($A148-Einstellungen!$C$6,Einstellungen!$C$7)+1)))</f>
        <v>-</v>
      </c>
      <c r="AI148" s="27" t="n">
        <f aca="false">IF($A148="","",IFERROR(VLOOKUP(AH148,Schichten!$A$5:$G$24,6,FALSE()),0))</f>
        <v>0</v>
      </c>
      <c r="AJ148" s="27" t="n">
        <f aca="false">IF($A148="","",IFERROR(VLOOKUP(AH148,Schichten!$A$5:$G$24,7,FALSE()),0))</f>
        <v>0</v>
      </c>
      <c r="AK148" s="28" t="str">
        <f aca="false">IF($A148="","",IF(N(AI148)=0,"",$A148+VLOOKUP(AH148,Schichten!$A$5:$G$24,3,FALSE())))</f>
        <v/>
      </c>
      <c r="AL148" s="28" t="str">
        <f aca="false">IF(AK148="","",$A148+VLOOKUP(AH148,Schichten!$A$5:$G$24,4,FALSE())+IF(VLOOKUP(AH148,Schichten!$A$5:$G$24,4,FALSE())&lt;=VLOOKUP(AH148,Schichten!$A$5:$G$24,3,FALSE()),1,0))</f>
        <v/>
      </c>
      <c r="AM148" s="28" t="n">
        <f aca="false">IF($A148="","",IF(N(AI147)&gt;0,AL147,AM147))</f>
        <v>46531.25</v>
      </c>
      <c r="AN148" s="27" t="str">
        <f aca="false">IF(OR(AK148="",AM148=""),"",(AK148-AM148)*24)</f>
        <v/>
      </c>
      <c r="AO148" s="21" t="n">
        <f aca="false">IF($A148="","",IF(N(AI148)&gt;0,N(AO147)+1,0))</f>
        <v>0</v>
      </c>
      <c r="AP148" s="21" t="n">
        <f aca="false">IF($A148="","",IF(N(AJ148)&gt;0,N(AP147)+1,0))</f>
        <v>0</v>
      </c>
      <c r="AQ148" s="21" t="str">
        <f aca="false">IF($A148="","",IF(WEEKDAY($A148,2)&lt;&gt;7,"",IF(AND(OR(AK148="",N(AK148)&gt;=$A148+16/24,N(AL148)&lt;=$A148+6/24),OR(AM148="",N(AM148)&lt;=$A148+6/24)),1,0)))</f>
        <v/>
      </c>
      <c r="AR148" s="26" t="str">
        <f aca="false">IF($A148="","",IF(INDEX(Muster!$C$10:$BF$10,1,MOD($A148-Einstellungen!$C$6,Einstellungen!$C$7)+1)="","-",INDEX(Muster!$C$10:$BF$10,1,MOD($A148-Einstellungen!$C$6,Einstellungen!$C$7)+1)))</f>
        <v>-</v>
      </c>
      <c r="AS148" s="27" t="n">
        <f aca="false">IF($A148="","",IFERROR(VLOOKUP(AR148,Schichten!$A$5:$G$24,6,FALSE()),0))</f>
        <v>0</v>
      </c>
      <c r="AT148" s="27" t="n">
        <f aca="false">IF($A148="","",IFERROR(VLOOKUP(AR148,Schichten!$A$5:$G$24,7,FALSE()),0))</f>
        <v>0</v>
      </c>
      <c r="AU148" s="28" t="str">
        <f aca="false">IF($A148="","",IF(N(AS148)=0,"",$A148+VLOOKUP(AR148,Schichten!$A$5:$G$24,3,FALSE())))</f>
        <v/>
      </c>
      <c r="AV148" s="28" t="str">
        <f aca="false">IF(AU148="","",$A148+VLOOKUP(AR148,Schichten!$A$5:$G$24,4,FALSE())+IF(VLOOKUP(AR148,Schichten!$A$5:$G$24,4,FALSE())&lt;=VLOOKUP(AR148,Schichten!$A$5:$G$24,3,FALSE()),1,0))</f>
        <v/>
      </c>
      <c r="AW148" s="28" t="str">
        <f aca="false">IF($A148="","",IF(N(AS147)&gt;0,AV147,AW147))</f>
        <v/>
      </c>
      <c r="AX148" s="27" t="str">
        <f aca="false">IF(OR(AU148="",AW148=""),"",(AU148-AW148)*24)</f>
        <v/>
      </c>
      <c r="AY148" s="21" t="n">
        <f aca="false">IF($A148="","",IF(N(AS148)&gt;0,N(AY147)+1,0))</f>
        <v>0</v>
      </c>
      <c r="AZ148" s="21" t="n">
        <f aca="false">IF($A148="","",IF(N(AT148)&gt;0,N(AZ147)+1,0))</f>
        <v>0</v>
      </c>
      <c r="BA148" s="21" t="str">
        <f aca="false">IF($A148="","",IF(WEEKDAY($A148,2)&lt;&gt;7,"",IF(AND(OR(AU148="",N(AU148)&gt;=$A148+16/24,N(AV148)&lt;=$A148+6/24),OR(AW148="",N(AW148)&lt;=$A148+6/24)),1,0)))</f>
        <v/>
      </c>
    </row>
    <row r="149" customFormat="false" ht="15" hidden="false" customHeight="false" outlineLevel="0" collapsed="false">
      <c r="A149" s="25" t="n">
        <f aca="false">IF(YEAR(DATE(Einstellungen!$C$4,1,1)+144)=Einstellungen!$C$4,DATE(Einstellungen!$C$4,1,1)+144,"")</f>
        <v>46532</v>
      </c>
      <c r="B149" s="26" t="str">
        <f aca="false">IF($A149="","",CHOOSE(WEEKDAY($A149,2),"Mo","Di","Mi","Do","Fr","Sa","So"))</f>
        <v>Di</v>
      </c>
      <c r="C149" s="26" t="n">
        <f aca="false">IF($A149="","",MONTH($A149))</f>
        <v>5</v>
      </c>
      <c r="D149" s="26" t="str">
        <f aca="false">IF($A149="","",IF(INDEX(Muster!$C$6:$BF$6,1,MOD($A149-Einstellungen!$C$6,Einstellungen!$C$7)+1)="","-",INDEX(Muster!$C$6:$BF$6,1,MOD($A149-Einstellungen!$C$6,Einstellungen!$C$7)+1)))</f>
        <v>N</v>
      </c>
      <c r="E149" s="27" t="n">
        <f aca="false">IF($A149="","",IFERROR(VLOOKUP(D149,Schichten!$A$5:$G$24,6,FALSE()),0))</f>
        <v>8</v>
      </c>
      <c r="F149" s="27" t="n">
        <f aca="false">IF($A149="","",IFERROR(VLOOKUP(D149,Schichten!$A$5:$G$24,7,FALSE()),0))</f>
        <v>7</v>
      </c>
      <c r="G149" s="28" t="n">
        <f aca="false">IF($A149="","",IF(N(E149)=0,"",$A149+VLOOKUP(D149,Schichten!$A$5:$G$24,3,FALSE())))</f>
        <v>46532.9166666667</v>
      </c>
      <c r="H149" s="28" t="n">
        <f aca="false">IF(G149="","",$A149+VLOOKUP(D149,Schichten!$A$5:$G$24,4,FALSE())+IF(VLOOKUP(D149,Schichten!$A$5:$G$24,4,FALSE())&lt;=VLOOKUP(D149,Schichten!$A$5:$G$24,3,FALSE()),1,0))</f>
        <v>46533.25</v>
      </c>
      <c r="I149" s="28" t="n">
        <f aca="false">IF($A149="","",IF(N(E148)&gt;0,H148,I148))</f>
        <v>46532.25</v>
      </c>
      <c r="J149" s="27" t="n">
        <f aca="false">IF(OR(G149="",I149=""),"",(G149-I149)*24)</f>
        <v>16</v>
      </c>
      <c r="K149" s="21" t="n">
        <f aca="false">IF($A149="","",IF(N(E149)&gt;0,N(K148)+1,0))</f>
        <v>6</v>
      </c>
      <c r="L149" s="21" t="n">
        <f aca="false">IF($A149="","",IF(N(F149)&gt;0,N(L148)+1,0))</f>
        <v>2</v>
      </c>
      <c r="M149" s="21" t="str">
        <f aca="false">IF($A149="","",IF(WEEKDAY($A149,2)&lt;&gt;7,"",IF(AND(OR(G149="",N(G149)&gt;=$A149+16/24,N(H149)&lt;=$A149+6/24),OR(I149="",N(I149)&lt;=$A149+6/24)),1,0)))</f>
        <v/>
      </c>
      <c r="N149" s="26" t="str">
        <f aca="false">IF($A149="","",IF(INDEX(Muster!$C$7:$BF$7,1,MOD($A149-Einstellungen!$C$6,Einstellungen!$C$7)+1)="","-",INDEX(Muster!$C$7:$BF$7,1,MOD($A149-Einstellungen!$C$6,Einstellungen!$C$7)+1)))</f>
        <v>S</v>
      </c>
      <c r="O149" s="27" t="n">
        <f aca="false">IF($A149="","",IFERROR(VLOOKUP(N149,Schichten!$A$5:$G$24,6,FALSE()),0))</f>
        <v>8</v>
      </c>
      <c r="P149" s="27" t="n">
        <f aca="false">IF($A149="","",IFERROR(VLOOKUP(N149,Schichten!$A$5:$G$24,7,FALSE()),0))</f>
        <v>0</v>
      </c>
      <c r="Q149" s="28" t="n">
        <f aca="false">IF($A149="","",IF(N(O149)=0,"",$A149+VLOOKUP(N149,Schichten!$A$5:$G$24,3,FALSE())))</f>
        <v>46532.5833333333</v>
      </c>
      <c r="R149" s="28" t="n">
        <f aca="false">IF(Q149="","",$A149+VLOOKUP(N149,Schichten!$A$5:$G$24,4,FALSE())+IF(VLOOKUP(N149,Schichten!$A$5:$G$24,4,FALSE())&lt;=VLOOKUP(N149,Schichten!$A$5:$G$24,3,FALSE()),1,0))</f>
        <v>46532.9166666667</v>
      </c>
      <c r="S149" s="28" t="n">
        <f aca="false">IF($A149="","",IF(N(O148)&gt;0,R148,S148))</f>
        <v>46531.9166666667</v>
      </c>
      <c r="T149" s="27" t="n">
        <f aca="false">IF(OR(Q149="",S149=""),"",(Q149-S149)*24)</f>
        <v>16</v>
      </c>
      <c r="U149" s="21" t="n">
        <f aca="false">IF($A149="","",IF(N(O149)&gt;0,N(U148)+1,0))</f>
        <v>4</v>
      </c>
      <c r="V149" s="21" t="n">
        <f aca="false">IF($A149="","",IF(N(P149)&gt;0,N(V148)+1,0))</f>
        <v>0</v>
      </c>
      <c r="W149" s="21" t="str">
        <f aca="false">IF($A149="","",IF(WEEKDAY($A149,2)&lt;&gt;7,"",IF(AND(OR(Q149="",N(Q149)&gt;=$A149+16/24,N(R149)&lt;=$A149+6/24),OR(S149="",N(S149)&lt;=$A149+6/24)),1,0)))</f>
        <v/>
      </c>
      <c r="X149" s="26" t="str">
        <f aca="false">IF($A149="","",IF(INDEX(Muster!$C$8:$BF$8,1,MOD($A149-Einstellungen!$C$6,Einstellungen!$C$7)+1)="","-",INDEX(Muster!$C$8:$BF$8,1,MOD($A149-Einstellungen!$C$6,Einstellungen!$C$7)+1)))</f>
        <v>F</v>
      </c>
      <c r="Y149" s="27" t="n">
        <f aca="false">IF($A149="","",IFERROR(VLOOKUP(X149,Schichten!$A$5:$G$24,6,FALSE()),0))</f>
        <v>8</v>
      </c>
      <c r="Z149" s="27" t="n">
        <f aca="false">IF($A149="","",IFERROR(VLOOKUP(X149,Schichten!$A$5:$G$24,7,FALSE()),0))</f>
        <v>0</v>
      </c>
      <c r="AA149" s="28" t="n">
        <f aca="false">IF($A149="","",IF(N(Y149)=0,"",$A149+VLOOKUP(X149,Schichten!$A$5:$G$24,3,FALSE())))</f>
        <v>46532.25</v>
      </c>
      <c r="AB149" s="28" t="n">
        <f aca="false">IF(AA149="","",$A149+VLOOKUP(X149,Schichten!$A$5:$G$24,4,FALSE())+IF(VLOOKUP(X149,Schichten!$A$5:$G$24,4,FALSE())&lt;=VLOOKUP(X149,Schichten!$A$5:$G$24,3,FALSE()),1,0))</f>
        <v>46532.5833333333</v>
      </c>
      <c r="AC149" s="28" t="n">
        <f aca="false">IF($A149="","",IF(N(Y148)&gt;0,AB148,AC148))</f>
        <v>46531.5833333333</v>
      </c>
      <c r="AD149" s="27" t="n">
        <f aca="false">IF(OR(AA149="",AC149=""),"",(AA149-AC149)*24)</f>
        <v>16</v>
      </c>
      <c r="AE149" s="21" t="n">
        <f aca="false">IF($A149="","",IF(N(Y149)&gt;0,N(AE148)+1,0))</f>
        <v>2</v>
      </c>
      <c r="AF149" s="21" t="n">
        <f aca="false">IF($A149="","",IF(N(Z149)&gt;0,N(AF148)+1,0))</f>
        <v>0</v>
      </c>
      <c r="AG149" s="21" t="str">
        <f aca="false">IF($A149="","",IF(WEEKDAY($A149,2)&lt;&gt;7,"",IF(AND(OR(AA149="",N(AA149)&gt;=$A149+16/24,N(AB149)&lt;=$A149+6/24),OR(AC149="",N(AC149)&lt;=$A149+6/24)),1,0)))</f>
        <v/>
      </c>
      <c r="AH149" s="26" t="str">
        <f aca="false">IF($A149="","",IF(INDEX(Muster!$C$9:$BF$9,1,MOD($A149-Einstellungen!$C$6,Einstellungen!$C$7)+1)="","-",INDEX(Muster!$C$9:$BF$9,1,MOD($A149-Einstellungen!$C$6,Einstellungen!$C$7)+1)))</f>
        <v>-</v>
      </c>
      <c r="AI149" s="27" t="n">
        <f aca="false">IF($A149="","",IFERROR(VLOOKUP(AH149,Schichten!$A$5:$G$24,6,FALSE()),0))</f>
        <v>0</v>
      </c>
      <c r="AJ149" s="27" t="n">
        <f aca="false">IF($A149="","",IFERROR(VLOOKUP(AH149,Schichten!$A$5:$G$24,7,FALSE()),0))</f>
        <v>0</v>
      </c>
      <c r="AK149" s="28" t="str">
        <f aca="false">IF($A149="","",IF(N(AI149)=0,"",$A149+VLOOKUP(AH149,Schichten!$A$5:$G$24,3,FALSE())))</f>
        <v/>
      </c>
      <c r="AL149" s="28" t="str">
        <f aca="false">IF(AK149="","",$A149+VLOOKUP(AH149,Schichten!$A$5:$G$24,4,FALSE())+IF(VLOOKUP(AH149,Schichten!$A$5:$G$24,4,FALSE())&lt;=VLOOKUP(AH149,Schichten!$A$5:$G$24,3,FALSE()),1,0))</f>
        <v/>
      </c>
      <c r="AM149" s="28" t="n">
        <f aca="false">IF($A149="","",IF(N(AI148)&gt;0,AL148,AM148))</f>
        <v>46531.25</v>
      </c>
      <c r="AN149" s="27" t="str">
        <f aca="false">IF(OR(AK149="",AM149=""),"",(AK149-AM149)*24)</f>
        <v/>
      </c>
      <c r="AO149" s="21" t="n">
        <f aca="false">IF($A149="","",IF(N(AI149)&gt;0,N(AO148)+1,0))</f>
        <v>0</v>
      </c>
      <c r="AP149" s="21" t="n">
        <f aca="false">IF($A149="","",IF(N(AJ149)&gt;0,N(AP148)+1,0))</f>
        <v>0</v>
      </c>
      <c r="AQ149" s="21" t="str">
        <f aca="false">IF($A149="","",IF(WEEKDAY($A149,2)&lt;&gt;7,"",IF(AND(OR(AK149="",N(AK149)&gt;=$A149+16/24,N(AL149)&lt;=$A149+6/24),OR(AM149="",N(AM149)&lt;=$A149+6/24)),1,0)))</f>
        <v/>
      </c>
      <c r="AR149" s="26" t="str">
        <f aca="false">IF($A149="","",IF(INDEX(Muster!$C$10:$BF$10,1,MOD($A149-Einstellungen!$C$6,Einstellungen!$C$7)+1)="","-",INDEX(Muster!$C$10:$BF$10,1,MOD($A149-Einstellungen!$C$6,Einstellungen!$C$7)+1)))</f>
        <v>-</v>
      </c>
      <c r="AS149" s="27" t="n">
        <f aca="false">IF($A149="","",IFERROR(VLOOKUP(AR149,Schichten!$A$5:$G$24,6,FALSE()),0))</f>
        <v>0</v>
      </c>
      <c r="AT149" s="27" t="n">
        <f aca="false">IF($A149="","",IFERROR(VLOOKUP(AR149,Schichten!$A$5:$G$24,7,FALSE()),0))</f>
        <v>0</v>
      </c>
      <c r="AU149" s="28" t="str">
        <f aca="false">IF($A149="","",IF(N(AS149)=0,"",$A149+VLOOKUP(AR149,Schichten!$A$5:$G$24,3,FALSE())))</f>
        <v/>
      </c>
      <c r="AV149" s="28" t="str">
        <f aca="false">IF(AU149="","",$A149+VLOOKUP(AR149,Schichten!$A$5:$G$24,4,FALSE())+IF(VLOOKUP(AR149,Schichten!$A$5:$G$24,4,FALSE())&lt;=VLOOKUP(AR149,Schichten!$A$5:$G$24,3,FALSE()),1,0))</f>
        <v/>
      </c>
      <c r="AW149" s="28" t="str">
        <f aca="false">IF($A149="","",IF(N(AS148)&gt;0,AV148,AW148))</f>
        <v/>
      </c>
      <c r="AX149" s="27" t="str">
        <f aca="false">IF(OR(AU149="",AW149=""),"",(AU149-AW149)*24)</f>
        <v/>
      </c>
      <c r="AY149" s="21" t="n">
        <f aca="false">IF($A149="","",IF(N(AS149)&gt;0,N(AY148)+1,0))</f>
        <v>0</v>
      </c>
      <c r="AZ149" s="21" t="n">
        <f aca="false">IF($A149="","",IF(N(AT149)&gt;0,N(AZ148)+1,0))</f>
        <v>0</v>
      </c>
      <c r="BA149" s="21" t="str">
        <f aca="false">IF($A149="","",IF(WEEKDAY($A149,2)&lt;&gt;7,"",IF(AND(OR(AU149="",N(AU149)&gt;=$A149+16/24,N(AV149)&lt;=$A149+6/24),OR(AW149="",N(AW149)&lt;=$A149+6/24)),1,0)))</f>
        <v/>
      </c>
    </row>
    <row r="150" customFormat="false" ht="15" hidden="false" customHeight="false" outlineLevel="0" collapsed="false">
      <c r="A150" s="25" t="n">
        <f aca="false">IF(YEAR(DATE(Einstellungen!$C$4,1,1)+145)=Einstellungen!$C$4,DATE(Einstellungen!$C$4,1,1)+145,"")</f>
        <v>46533</v>
      </c>
      <c r="B150" s="26" t="str">
        <f aca="false">IF($A150="","",CHOOSE(WEEKDAY($A150,2),"Mo","Di","Mi","Do","Fr","Sa","So"))</f>
        <v>Mi</v>
      </c>
      <c r="C150" s="26" t="n">
        <f aca="false">IF($A150="","",MONTH($A150))</f>
        <v>5</v>
      </c>
      <c r="D150" s="26" t="str">
        <f aca="false">IF($A150="","",IF(INDEX(Muster!$C$6:$BF$6,1,MOD($A150-Einstellungen!$C$6,Einstellungen!$C$7)+1)="","-",INDEX(Muster!$C$6:$BF$6,1,MOD($A150-Einstellungen!$C$6,Einstellungen!$C$7)+1)))</f>
        <v>-</v>
      </c>
      <c r="E150" s="27" t="n">
        <f aca="false">IF($A150="","",IFERROR(VLOOKUP(D150,Schichten!$A$5:$G$24,6,FALSE()),0))</f>
        <v>0</v>
      </c>
      <c r="F150" s="27" t="n">
        <f aca="false">IF($A150="","",IFERROR(VLOOKUP(D150,Schichten!$A$5:$G$24,7,FALSE()),0))</f>
        <v>0</v>
      </c>
      <c r="G150" s="28" t="str">
        <f aca="false">IF($A150="","",IF(N(E150)=0,"",$A150+VLOOKUP(D150,Schichten!$A$5:$G$24,3,FALSE())))</f>
        <v/>
      </c>
      <c r="H150" s="28" t="str">
        <f aca="false">IF(G150="","",$A150+VLOOKUP(D150,Schichten!$A$5:$G$24,4,FALSE())+IF(VLOOKUP(D150,Schichten!$A$5:$G$24,4,FALSE())&lt;=VLOOKUP(D150,Schichten!$A$5:$G$24,3,FALSE()),1,0))</f>
        <v/>
      </c>
      <c r="I150" s="28" t="n">
        <f aca="false">IF($A150="","",IF(N(E149)&gt;0,H149,I149))</f>
        <v>46533.25</v>
      </c>
      <c r="J150" s="27" t="str">
        <f aca="false">IF(OR(G150="",I150=""),"",(G150-I150)*24)</f>
        <v/>
      </c>
      <c r="K150" s="21" t="n">
        <f aca="false">IF($A150="","",IF(N(E150)&gt;0,N(K149)+1,0))</f>
        <v>0</v>
      </c>
      <c r="L150" s="21" t="n">
        <f aca="false">IF($A150="","",IF(N(F150)&gt;0,N(L149)+1,0))</f>
        <v>0</v>
      </c>
      <c r="M150" s="21" t="str">
        <f aca="false">IF($A150="","",IF(WEEKDAY($A150,2)&lt;&gt;7,"",IF(AND(OR(G150="",N(G150)&gt;=$A150+16/24,N(H150)&lt;=$A150+6/24),OR(I150="",N(I150)&lt;=$A150+6/24)),1,0)))</f>
        <v/>
      </c>
      <c r="N150" s="26" t="str">
        <f aca="false">IF($A150="","",IF(INDEX(Muster!$C$7:$BF$7,1,MOD($A150-Einstellungen!$C$6,Einstellungen!$C$7)+1)="","-",INDEX(Muster!$C$7:$BF$7,1,MOD($A150-Einstellungen!$C$6,Einstellungen!$C$7)+1)))</f>
        <v>N</v>
      </c>
      <c r="O150" s="27" t="n">
        <f aca="false">IF($A150="","",IFERROR(VLOOKUP(N150,Schichten!$A$5:$G$24,6,FALSE()),0))</f>
        <v>8</v>
      </c>
      <c r="P150" s="27" t="n">
        <f aca="false">IF($A150="","",IFERROR(VLOOKUP(N150,Schichten!$A$5:$G$24,7,FALSE()),0))</f>
        <v>7</v>
      </c>
      <c r="Q150" s="28" t="n">
        <f aca="false">IF($A150="","",IF(N(O150)=0,"",$A150+VLOOKUP(N150,Schichten!$A$5:$G$24,3,FALSE())))</f>
        <v>46533.9166666667</v>
      </c>
      <c r="R150" s="28" t="n">
        <f aca="false">IF(Q150="","",$A150+VLOOKUP(N150,Schichten!$A$5:$G$24,4,FALSE())+IF(VLOOKUP(N150,Schichten!$A$5:$G$24,4,FALSE())&lt;=VLOOKUP(N150,Schichten!$A$5:$G$24,3,FALSE()),1,0))</f>
        <v>46534.25</v>
      </c>
      <c r="S150" s="28" t="n">
        <f aca="false">IF($A150="","",IF(N(O149)&gt;0,R149,S149))</f>
        <v>46532.9166666667</v>
      </c>
      <c r="T150" s="27" t="n">
        <f aca="false">IF(OR(Q150="",S150=""),"",(Q150-S150)*24)</f>
        <v>24</v>
      </c>
      <c r="U150" s="21" t="n">
        <f aca="false">IF($A150="","",IF(N(O150)&gt;0,N(U149)+1,0))</f>
        <v>5</v>
      </c>
      <c r="V150" s="21" t="n">
        <f aca="false">IF($A150="","",IF(N(P150)&gt;0,N(V149)+1,0))</f>
        <v>1</v>
      </c>
      <c r="W150" s="21" t="str">
        <f aca="false">IF($A150="","",IF(WEEKDAY($A150,2)&lt;&gt;7,"",IF(AND(OR(Q150="",N(Q150)&gt;=$A150+16/24,N(R150)&lt;=$A150+6/24),OR(S150="",N(S150)&lt;=$A150+6/24)),1,0)))</f>
        <v/>
      </c>
      <c r="X150" s="26" t="str">
        <f aca="false">IF($A150="","",IF(INDEX(Muster!$C$8:$BF$8,1,MOD($A150-Einstellungen!$C$6,Einstellungen!$C$7)+1)="","-",INDEX(Muster!$C$8:$BF$8,1,MOD($A150-Einstellungen!$C$6,Einstellungen!$C$7)+1)))</f>
        <v>S</v>
      </c>
      <c r="Y150" s="27" t="n">
        <f aca="false">IF($A150="","",IFERROR(VLOOKUP(X150,Schichten!$A$5:$G$24,6,FALSE()),0))</f>
        <v>8</v>
      </c>
      <c r="Z150" s="27" t="n">
        <f aca="false">IF($A150="","",IFERROR(VLOOKUP(X150,Schichten!$A$5:$G$24,7,FALSE()),0))</f>
        <v>0</v>
      </c>
      <c r="AA150" s="28" t="n">
        <f aca="false">IF($A150="","",IF(N(Y150)=0,"",$A150+VLOOKUP(X150,Schichten!$A$5:$G$24,3,FALSE())))</f>
        <v>46533.5833333333</v>
      </c>
      <c r="AB150" s="28" t="n">
        <f aca="false">IF(AA150="","",$A150+VLOOKUP(X150,Schichten!$A$5:$G$24,4,FALSE())+IF(VLOOKUP(X150,Schichten!$A$5:$G$24,4,FALSE())&lt;=VLOOKUP(X150,Schichten!$A$5:$G$24,3,FALSE()),1,0))</f>
        <v>46533.9166666667</v>
      </c>
      <c r="AC150" s="28" t="n">
        <f aca="false">IF($A150="","",IF(N(Y149)&gt;0,AB149,AC149))</f>
        <v>46532.5833333333</v>
      </c>
      <c r="AD150" s="27" t="n">
        <f aca="false">IF(OR(AA150="",AC150=""),"",(AA150-AC150)*24)</f>
        <v>24</v>
      </c>
      <c r="AE150" s="21" t="n">
        <f aca="false">IF($A150="","",IF(N(Y150)&gt;0,N(AE149)+1,0))</f>
        <v>3</v>
      </c>
      <c r="AF150" s="21" t="n">
        <f aca="false">IF($A150="","",IF(N(Z150)&gt;0,N(AF149)+1,0))</f>
        <v>0</v>
      </c>
      <c r="AG150" s="21" t="str">
        <f aca="false">IF($A150="","",IF(WEEKDAY($A150,2)&lt;&gt;7,"",IF(AND(OR(AA150="",N(AA150)&gt;=$A150+16/24,N(AB150)&lt;=$A150+6/24),OR(AC150="",N(AC150)&lt;=$A150+6/24)),1,0)))</f>
        <v/>
      </c>
      <c r="AH150" s="26" t="str">
        <f aca="false">IF($A150="","",IF(INDEX(Muster!$C$9:$BF$9,1,MOD($A150-Einstellungen!$C$6,Einstellungen!$C$7)+1)="","-",INDEX(Muster!$C$9:$BF$9,1,MOD($A150-Einstellungen!$C$6,Einstellungen!$C$7)+1)))</f>
        <v>F</v>
      </c>
      <c r="AI150" s="27" t="n">
        <f aca="false">IF($A150="","",IFERROR(VLOOKUP(AH150,Schichten!$A$5:$G$24,6,FALSE()),0))</f>
        <v>8</v>
      </c>
      <c r="AJ150" s="27" t="n">
        <f aca="false">IF($A150="","",IFERROR(VLOOKUP(AH150,Schichten!$A$5:$G$24,7,FALSE()),0))</f>
        <v>0</v>
      </c>
      <c r="AK150" s="28" t="n">
        <f aca="false">IF($A150="","",IF(N(AI150)=0,"",$A150+VLOOKUP(AH150,Schichten!$A$5:$G$24,3,FALSE())))</f>
        <v>46533.25</v>
      </c>
      <c r="AL150" s="28" t="n">
        <f aca="false">IF(AK150="","",$A150+VLOOKUP(AH150,Schichten!$A$5:$G$24,4,FALSE())+IF(VLOOKUP(AH150,Schichten!$A$5:$G$24,4,FALSE())&lt;=VLOOKUP(AH150,Schichten!$A$5:$G$24,3,FALSE()),1,0))</f>
        <v>46533.5833333333</v>
      </c>
      <c r="AM150" s="28" t="n">
        <f aca="false">IF($A150="","",IF(N(AI149)&gt;0,AL149,AM149))</f>
        <v>46531.25</v>
      </c>
      <c r="AN150" s="27" t="n">
        <f aca="false">IF(OR(AK150="",AM150=""),"",(AK150-AM150)*24)</f>
        <v>48</v>
      </c>
      <c r="AO150" s="21" t="n">
        <f aca="false">IF($A150="","",IF(N(AI150)&gt;0,N(AO149)+1,0))</f>
        <v>1</v>
      </c>
      <c r="AP150" s="21" t="n">
        <f aca="false">IF($A150="","",IF(N(AJ150)&gt;0,N(AP149)+1,0))</f>
        <v>0</v>
      </c>
      <c r="AQ150" s="21" t="str">
        <f aca="false">IF($A150="","",IF(WEEKDAY($A150,2)&lt;&gt;7,"",IF(AND(OR(AK150="",N(AK150)&gt;=$A150+16/24,N(AL150)&lt;=$A150+6/24),OR(AM150="",N(AM150)&lt;=$A150+6/24)),1,0)))</f>
        <v/>
      </c>
      <c r="AR150" s="26" t="str">
        <f aca="false">IF($A150="","",IF(INDEX(Muster!$C$10:$BF$10,1,MOD($A150-Einstellungen!$C$6,Einstellungen!$C$7)+1)="","-",INDEX(Muster!$C$10:$BF$10,1,MOD($A150-Einstellungen!$C$6,Einstellungen!$C$7)+1)))</f>
        <v>-</v>
      </c>
      <c r="AS150" s="27" t="n">
        <f aca="false">IF($A150="","",IFERROR(VLOOKUP(AR150,Schichten!$A$5:$G$24,6,FALSE()),0))</f>
        <v>0</v>
      </c>
      <c r="AT150" s="27" t="n">
        <f aca="false">IF($A150="","",IFERROR(VLOOKUP(AR150,Schichten!$A$5:$G$24,7,FALSE()),0))</f>
        <v>0</v>
      </c>
      <c r="AU150" s="28" t="str">
        <f aca="false">IF($A150="","",IF(N(AS150)=0,"",$A150+VLOOKUP(AR150,Schichten!$A$5:$G$24,3,FALSE())))</f>
        <v/>
      </c>
      <c r="AV150" s="28" t="str">
        <f aca="false">IF(AU150="","",$A150+VLOOKUP(AR150,Schichten!$A$5:$G$24,4,FALSE())+IF(VLOOKUP(AR150,Schichten!$A$5:$G$24,4,FALSE())&lt;=VLOOKUP(AR150,Schichten!$A$5:$G$24,3,FALSE()),1,0))</f>
        <v/>
      </c>
      <c r="AW150" s="28" t="str">
        <f aca="false">IF($A150="","",IF(N(AS149)&gt;0,AV149,AW149))</f>
        <v/>
      </c>
      <c r="AX150" s="27" t="str">
        <f aca="false">IF(OR(AU150="",AW150=""),"",(AU150-AW150)*24)</f>
        <v/>
      </c>
      <c r="AY150" s="21" t="n">
        <f aca="false">IF($A150="","",IF(N(AS150)&gt;0,N(AY149)+1,0))</f>
        <v>0</v>
      </c>
      <c r="AZ150" s="21" t="n">
        <f aca="false">IF($A150="","",IF(N(AT150)&gt;0,N(AZ149)+1,0))</f>
        <v>0</v>
      </c>
      <c r="BA150" s="21" t="str">
        <f aca="false">IF($A150="","",IF(WEEKDAY($A150,2)&lt;&gt;7,"",IF(AND(OR(AU150="",N(AU150)&gt;=$A150+16/24,N(AV150)&lt;=$A150+6/24),OR(AW150="",N(AW150)&lt;=$A150+6/24)),1,0)))</f>
        <v/>
      </c>
    </row>
    <row r="151" customFormat="false" ht="15" hidden="false" customHeight="false" outlineLevel="0" collapsed="false">
      <c r="A151" s="25" t="n">
        <f aca="false">IF(YEAR(DATE(Einstellungen!$C$4,1,1)+146)=Einstellungen!$C$4,DATE(Einstellungen!$C$4,1,1)+146,"")</f>
        <v>46534</v>
      </c>
      <c r="B151" s="26" t="str">
        <f aca="false">IF($A151="","",CHOOSE(WEEKDAY($A151,2),"Mo","Di","Mi","Do","Fr","Sa","So"))</f>
        <v>Do</v>
      </c>
      <c r="C151" s="26" t="n">
        <f aca="false">IF($A151="","",MONTH($A151))</f>
        <v>5</v>
      </c>
      <c r="D151" s="26" t="str">
        <f aca="false">IF($A151="","",IF(INDEX(Muster!$C$6:$BF$6,1,MOD($A151-Einstellungen!$C$6,Einstellungen!$C$7)+1)="","-",INDEX(Muster!$C$6:$BF$6,1,MOD($A151-Einstellungen!$C$6,Einstellungen!$C$7)+1)))</f>
        <v>-</v>
      </c>
      <c r="E151" s="27" t="n">
        <f aca="false">IF($A151="","",IFERROR(VLOOKUP(D151,Schichten!$A$5:$G$24,6,FALSE()),0))</f>
        <v>0</v>
      </c>
      <c r="F151" s="27" t="n">
        <f aca="false">IF($A151="","",IFERROR(VLOOKUP(D151,Schichten!$A$5:$G$24,7,FALSE()),0))</f>
        <v>0</v>
      </c>
      <c r="G151" s="28" t="str">
        <f aca="false">IF($A151="","",IF(N(E151)=0,"",$A151+VLOOKUP(D151,Schichten!$A$5:$G$24,3,FALSE())))</f>
        <v/>
      </c>
      <c r="H151" s="28" t="str">
        <f aca="false">IF(G151="","",$A151+VLOOKUP(D151,Schichten!$A$5:$G$24,4,FALSE())+IF(VLOOKUP(D151,Schichten!$A$5:$G$24,4,FALSE())&lt;=VLOOKUP(D151,Schichten!$A$5:$G$24,3,FALSE()),1,0))</f>
        <v/>
      </c>
      <c r="I151" s="28" t="n">
        <f aca="false">IF($A151="","",IF(N(E150)&gt;0,H150,I150))</f>
        <v>46533.25</v>
      </c>
      <c r="J151" s="27" t="str">
        <f aca="false">IF(OR(G151="",I151=""),"",(G151-I151)*24)</f>
        <v/>
      </c>
      <c r="K151" s="21" t="n">
        <f aca="false">IF($A151="","",IF(N(E151)&gt;0,N(K150)+1,0))</f>
        <v>0</v>
      </c>
      <c r="L151" s="21" t="n">
        <f aca="false">IF($A151="","",IF(N(F151)&gt;0,N(L150)+1,0))</f>
        <v>0</v>
      </c>
      <c r="M151" s="21" t="str">
        <f aca="false">IF($A151="","",IF(WEEKDAY($A151,2)&lt;&gt;7,"",IF(AND(OR(G151="",N(G151)&gt;=$A151+16/24,N(H151)&lt;=$A151+6/24),OR(I151="",N(I151)&lt;=$A151+6/24)),1,0)))</f>
        <v/>
      </c>
      <c r="N151" s="26" t="str">
        <f aca="false">IF($A151="","",IF(INDEX(Muster!$C$7:$BF$7,1,MOD($A151-Einstellungen!$C$6,Einstellungen!$C$7)+1)="","-",INDEX(Muster!$C$7:$BF$7,1,MOD($A151-Einstellungen!$C$6,Einstellungen!$C$7)+1)))</f>
        <v>N</v>
      </c>
      <c r="O151" s="27" t="n">
        <f aca="false">IF($A151="","",IFERROR(VLOOKUP(N151,Schichten!$A$5:$G$24,6,FALSE()),0))</f>
        <v>8</v>
      </c>
      <c r="P151" s="27" t="n">
        <f aca="false">IF($A151="","",IFERROR(VLOOKUP(N151,Schichten!$A$5:$G$24,7,FALSE()),0))</f>
        <v>7</v>
      </c>
      <c r="Q151" s="28" t="n">
        <f aca="false">IF($A151="","",IF(N(O151)=0,"",$A151+VLOOKUP(N151,Schichten!$A$5:$G$24,3,FALSE())))</f>
        <v>46534.9166666667</v>
      </c>
      <c r="R151" s="28" t="n">
        <f aca="false">IF(Q151="","",$A151+VLOOKUP(N151,Schichten!$A$5:$G$24,4,FALSE())+IF(VLOOKUP(N151,Schichten!$A$5:$G$24,4,FALSE())&lt;=VLOOKUP(N151,Schichten!$A$5:$G$24,3,FALSE()),1,0))</f>
        <v>46535.25</v>
      </c>
      <c r="S151" s="28" t="n">
        <f aca="false">IF($A151="","",IF(N(O150)&gt;0,R150,S150))</f>
        <v>46534.25</v>
      </c>
      <c r="T151" s="27" t="n">
        <f aca="false">IF(OR(Q151="",S151=""),"",(Q151-S151)*24)</f>
        <v>16</v>
      </c>
      <c r="U151" s="21" t="n">
        <f aca="false">IF($A151="","",IF(N(O151)&gt;0,N(U150)+1,0))</f>
        <v>6</v>
      </c>
      <c r="V151" s="21" t="n">
        <f aca="false">IF($A151="","",IF(N(P151)&gt;0,N(V150)+1,0))</f>
        <v>2</v>
      </c>
      <c r="W151" s="21" t="str">
        <f aca="false">IF($A151="","",IF(WEEKDAY($A151,2)&lt;&gt;7,"",IF(AND(OR(Q151="",N(Q151)&gt;=$A151+16/24,N(R151)&lt;=$A151+6/24),OR(S151="",N(S151)&lt;=$A151+6/24)),1,0)))</f>
        <v/>
      </c>
      <c r="X151" s="26" t="str">
        <f aca="false">IF($A151="","",IF(INDEX(Muster!$C$8:$BF$8,1,MOD($A151-Einstellungen!$C$6,Einstellungen!$C$7)+1)="","-",INDEX(Muster!$C$8:$BF$8,1,MOD($A151-Einstellungen!$C$6,Einstellungen!$C$7)+1)))</f>
        <v>S</v>
      </c>
      <c r="Y151" s="27" t="n">
        <f aca="false">IF($A151="","",IFERROR(VLOOKUP(X151,Schichten!$A$5:$G$24,6,FALSE()),0))</f>
        <v>8</v>
      </c>
      <c r="Z151" s="27" t="n">
        <f aca="false">IF($A151="","",IFERROR(VLOOKUP(X151,Schichten!$A$5:$G$24,7,FALSE()),0))</f>
        <v>0</v>
      </c>
      <c r="AA151" s="28" t="n">
        <f aca="false">IF($A151="","",IF(N(Y151)=0,"",$A151+VLOOKUP(X151,Schichten!$A$5:$G$24,3,FALSE())))</f>
        <v>46534.5833333333</v>
      </c>
      <c r="AB151" s="28" t="n">
        <f aca="false">IF(AA151="","",$A151+VLOOKUP(X151,Schichten!$A$5:$G$24,4,FALSE())+IF(VLOOKUP(X151,Schichten!$A$5:$G$24,4,FALSE())&lt;=VLOOKUP(X151,Schichten!$A$5:$G$24,3,FALSE()),1,0))</f>
        <v>46534.9166666667</v>
      </c>
      <c r="AC151" s="28" t="n">
        <f aca="false">IF($A151="","",IF(N(Y150)&gt;0,AB150,AC150))</f>
        <v>46533.9166666667</v>
      </c>
      <c r="AD151" s="27" t="n">
        <f aca="false">IF(OR(AA151="",AC151=""),"",(AA151-AC151)*24)</f>
        <v>16</v>
      </c>
      <c r="AE151" s="21" t="n">
        <f aca="false">IF($A151="","",IF(N(Y151)&gt;0,N(AE150)+1,0))</f>
        <v>4</v>
      </c>
      <c r="AF151" s="21" t="n">
        <f aca="false">IF($A151="","",IF(N(Z151)&gt;0,N(AF150)+1,0))</f>
        <v>0</v>
      </c>
      <c r="AG151" s="21" t="str">
        <f aca="false">IF($A151="","",IF(WEEKDAY($A151,2)&lt;&gt;7,"",IF(AND(OR(AA151="",N(AA151)&gt;=$A151+16/24,N(AB151)&lt;=$A151+6/24),OR(AC151="",N(AC151)&lt;=$A151+6/24)),1,0)))</f>
        <v/>
      </c>
      <c r="AH151" s="26" t="str">
        <f aca="false">IF($A151="","",IF(INDEX(Muster!$C$9:$BF$9,1,MOD($A151-Einstellungen!$C$6,Einstellungen!$C$7)+1)="","-",INDEX(Muster!$C$9:$BF$9,1,MOD($A151-Einstellungen!$C$6,Einstellungen!$C$7)+1)))</f>
        <v>F</v>
      </c>
      <c r="AI151" s="27" t="n">
        <f aca="false">IF($A151="","",IFERROR(VLOOKUP(AH151,Schichten!$A$5:$G$24,6,FALSE()),0))</f>
        <v>8</v>
      </c>
      <c r="AJ151" s="27" t="n">
        <f aca="false">IF($A151="","",IFERROR(VLOOKUP(AH151,Schichten!$A$5:$G$24,7,FALSE()),0))</f>
        <v>0</v>
      </c>
      <c r="AK151" s="28" t="n">
        <f aca="false">IF($A151="","",IF(N(AI151)=0,"",$A151+VLOOKUP(AH151,Schichten!$A$5:$G$24,3,FALSE())))</f>
        <v>46534.25</v>
      </c>
      <c r="AL151" s="28" t="n">
        <f aca="false">IF(AK151="","",$A151+VLOOKUP(AH151,Schichten!$A$5:$G$24,4,FALSE())+IF(VLOOKUP(AH151,Schichten!$A$5:$G$24,4,FALSE())&lt;=VLOOKUP(AH151,Schichten!$A$5:$G$24,3,FALSE()),1,0))</f>
        <v>46534.5833333333</v>
      </c>
      <c r="AM151" s="28" t="n">
        <f aca="false">IF($A151="","",IF(N(AI150)&gt;0,AL150,AM150))</f>
        <v>46533.5833333333</v>
      </c>
      <c r="AN151" s="27" t="n">
        <f aca="false">IF(OR(AK151="",AM151=""),"",(AK151-AM151)*24)</f>
        <v>16</v>
      </c>
      <c r="AO151" s="21" t="n">
        <f aca="false">IF($A151="","",IF(N(AI151)&gt;0,N(AO150)+1,0))</f>
        <v>2</v>
      </c>
      <c r="AP151" s="21" t="n">
        <f aca="false">IF($A151="","",IF(N(AJ151)&gt;0,N(AP150)+1,0))</f>
        <v>0</v>
      </c>
      <c r="AQ151" s="21" t="str">
        <f aca="false">IF($A151="","",IF(WEEKDAY($A151,2)&lt;&gt;7,"",IF(AND(OR(AK151="",N(AK151)&gt;=$A151+16/24,N(AL151)&lt;=$A151+6/24),OR(AM151="",N(AM151)&lt;=$A151+6/24)),1,0)))</f>
        <v/>
      </c>
      <c r="AR151" s="26" t="str">
        <f aca="false">IF($A151="","",IF(INDEX(Muster!$C$10:$BF$10,1,MOD($A151-Einstellungen!$C$6,Einstellungen!$C$7)+1)="","-",INDEX(Muster!$C$10:$BF$10,1,MOD($A151-Einstellungen!$C$6,Einstellungen!$C$7)+1)))</f>
        <v>-</v>
      </c>
      <c r="AS151" s="27" t="n">
        <f aca="false">IF($A151="","",IFERROR(VLOOKUP(AR151,Schichten!$A$5:$G$24,6,FALSE()),0))</f>
        <v>0</v>
      </c>
      <c r="AT151" s="27" t="n">
        <f aca="false">IF($A151="","",IFERROR(VLOOKUP(AR151,Schichten!$A$5:$G$24,7,FALSE()),0))</f>
        <v>0</v>
      </c>
      <c r="AU151" s="28" t="str">
        <f aca="false">IF($A151="","",IF(N(AS151)=0,"",$A151+VLOOKUP(AR151,Schichten!$A$5:$G$24,3,FALSE())))</f>
        <v/>
      </c>
      <c r="AV151" s="28" t="str">
        <f aca="false">IF(AU151="","",$A151+VLOOKUP(AR151,Schichten!$A$5:$G$24,4,FALSE())+IF(VLOOKUP(AR151,Schichten!$A$5:$G$24,4,FALSE())&lt;=VLOOKUP(AR151,Schichten!$A$5:$G$24,3,FALSE()),1,0))</f>
        <v/>
      </c>
      <c r="AW151" s="28" t="str">
        <f aca="false">IF($A151="","",IF(N(AS150)&gt;0,AV150,AW150))</f>
        <v/>
      </c>
      <c r="AX151" s="27" t="str">
        <f aca="false">IF(OR(AU151="",AW151=""),"",(AU151-AW151)*24)</f>
        <v/>
      </c>
      <c r="AY151" s="21" t="n">
        <f aca="false">IF($A151="","",IF(N(AS151)&gt;0,N(AY150)+1,0))</f>
        <v>0</v>
      </c>
      <c r="AZ151" s="21" t="n">
        <f aca="false">IF($A151="","",IF(N(AT151)&gt;0,N(AZ150)+1,0))</f>
        <v>0</v>
      </c>
      <c r="BA151" s="21" t="str">
        <f aca="false">IF($A151="","",IF(WEEKDAY($A151,2)&lt;&gt;7,"",IF(AND(OR(AU151="",N(AU151)&gt;=$A151+16/24,N(AV151)&lt;=$A151+6/24),OR(AW151="",N(AW151)&lt;=$A151+6/24)),1,0)))</f>
        <v/>
      </c>
    </row>
    <row r="152" customFormat="false" ht="15" hidden="false" customHeight="false" outlineLevel="0" collapsed="false">
      <c r="A152" s="25" t="n">
        <f aca="false">IF(YEAR(DATE(Einstellungen!$C$4,1,1)+147)=Einstellungen!$C$4,DATE(Einstellungen!$C$4,1,1)+147,"")</f>
        <v>46535</v>
      </c>
      <c r="B152" s="26" t="str">
        <f aca="false">IF($A152="","",CHOOSE(WEEKDAY($A152,2),"Mo","Di","Mi","Do","Fr","Sa","So"))</f>
        <v>Fr</v>
      </c>
      <c r="C152" s="26" t="n">
        <f aca="false">IF($A152="","",MONTH($A152))</f>
        <v>5</v>
      </c>
      <c r="D152" s="26" t="str">
        <f aca="false">IF($A152="","",IF(INDEX(Muster!$C$6:$BF$6,1,MOD($A152-Einstellungen!$C$6,Einstellungen!$C$7)+1)="","-",INDEX(Muster!$C$6:$BF$6,1,MOD($A152-Einstellungen!$C$6,Einstellungen!$C$7)+1)))</f>
        <v>F</v>
      </c>
      <c r="E152" s="27" t="n">
        <f aca="false">IF($A152="","",IFERROR(VLOOKUP(D152,Schichten!$A$5:$G$24,6,FALSE()),0))</f>
        <v>8</v>
      </c>
      <c r="F152" s="27" t="n">
        <f aca="false">IF($A152="","",IFERROR(VLOOKUP(D152,Schichten!$A$5:$G$24,7,FALSE()),0))</f>
        <v>0</v>
      </c>
      <c r="G152" s="28" t="n">
        <f aca="false">IF($A152="","",IF(N(E152)=0,"",$A152+VLOOKUP(D152,Schichten!$A$5:$G$24,3,FALSE())))</f>
        <v>46535.25</v>
      </c>
      <c r="H152" s="28" t="n">
        <f aca="false">IF(G152="","",$A152+VLOOKUP(D152,Schichten!$A$5:$G$24,4,FALSE())+IF(VLOOKUP(D152,Schichten!$A$5:$G$24,4,FALSE())&lt;=VLOOKUP(D152,Schichten!$A$5:$G$24,3,FALSE()),1,0))</f>
        <v>46535.5833333333</v>
      </c>
      <c r="I152" s="28" t="n">
        <f aca="false">IF($A152="","",IF(N(E151)&gt;0,H151,I151))</f>
        <v>46533.25</v>
      </c>
      <c r="J152" s="27" t="n">
        <f aca="false">IF(OR(G152="",I152=""),"",(G152-I152)*24)</f>
        <v>48</v>
      </c>
      <c r="K152" s="21" t="n">
        <f aca="false">IF($A152="","",IF(N(E152)&gt;0,N(K151)+1,0))</f>
        <v>1</v>
      </c>
      <c r="L152" s="21" t="n">
        <f aca="false">IF($A152="","",IF(N(F152)&gt;0,N(L151)+1,0))</f>
        <v>0</v>
      </c>
      <c r="M152" s="21" t="str">
        <f aca="false">IF($A152="","",IF(WEEKDAY($A152,2)&lt;&gt;7,"",IF(AND(OR(G152="",N(G152)&gt;=$A152+16/24,N(H152)&lt;=$A152+6/24),OR(I152="",N(I152)&lt;=$A152+6/24)),1,0)))</f>
        <v/>
      </c>
      <c r="N152" s="26" t="str">
        <f aca="false">IF($A152="","",IF(INDEX(Muster!$C$7:$BF$7,1,MOD($A152-Einstellungen!$C$6,Einstellungen!$C$7)+1)="","-",INDEX(Muster!$C$7:$BF$7,1,MOD($A152-Einstellungen!$C$6,Einstellungen!$C$7)+1)))</f>
        <v>-</v>
      </c>
      <c r="O152" s="27" t="n">
        <f aca="false">IF($A152="","",IFERROR(VLOOKUP(N152,Schichten!$A$5:$G$24,6,FALSE()),0))</f>
        <v>0</v>
      </c>
      <c r="P152" s="27" t="n">
        <f aca="false">IF($A152="","",IFERROR(VLOOKUP(N152,Schichten!$A$5:$G$24,7,FALSE()),0))</f>
        <v>0</v>
      </c>
      <c r="Q152" s="28" t="str">
        <f aca="false">IF($A152="","",IF(N(O152)=0,"",$A152+VLOOKUP(N152,Schichten!$A$5:$G$24,3,FALSE())))</f>
        <v/>
      </c>
      <c r="R152" s="28" t="str">
        <f aca="false">IF(Q152="","",$A152+VLOOKUP(N152,Schichten!$A$5:$G$24,4,FALSE())+IF(VLOOKUP(N152,Schichten!$A$5:$G$24,4,FALSE())&lt;=VLOOKUP(N152,Schichten!$A$5:$G$24,3,FALSE()),1,0))</f>
        <v/>
      </c>
      <c r="S152" s="28" t="n">
        <f aca="false">IF($A152="","",IF(N(O151)&gt;0,R151,S151))</f>
        <v>46535.25</v>
      </c>
      <c r="T152" s="27" t="str">
        <f aca="false">IF(OR(Q152="",S152=""),"",(Q152-S152)*24)</f>
        <v/>
      </c>
      <c r="U152" s="21" t="n">
        <f aca="false">IF($A152="","",IF(N(O152)&gt;0,N(U151)+1,0))</f>
        <v>0</v>
      </c>
      <c r="V152" s="21" t="n">
        <f aca="false">IF($A152="","",IF(N(P152)&gt;0,N(V151)+1,0))</f>
        <v>0</v>
      </c>
      <c r="W152" s="21" t="str">
        <f aca="false">IF($A152="","",IF(WEEKDAY($A152,2)&lt;&gt;7,"",IF(AND(OR(Q152="",N(Q152)&gt;=$A152+16/24,N(R152)&lt;=$A152+6/24),OR(S152="",N(S152)&lt;=$A152+6/24)),1,0)))</f>
        <v/>
      </c>
      <c r="X152" s="26" t="str">
        <f aca="false">IF($A152="","",IF(INDEX(Muster!$C$8:$BF$8,1,MOD($A152-Einstellungen!$C$6,Einstellungen!$C$7)+1)="","-",INDEX(Muster!$C$8:$BF$8,1,MOD($A152-Einstellungen!$C$6,Einstellungen!$C$7)+1)))</f>
        <v>N</v>
      </c>
      <c r="Y152" s="27" t="n">
        <f aca="false">IF($A152="","",IFERROR(VLOOKUP(X152,Schichten!$A$5:$G$24,6,FALSE()),0))</f>
        <v>8</v>
      </c>
      <c r="Z152" s="27" t="n">
        <f aca="false">IF($A152="","",IFERROR(VLOOKUP(X152,Schichten!$A$5:$G$24,7,FALSE()),0))</f>
        <v>7</v>
      </c>
      <c r="AA152" s="28" t="n">
        <f aca="false">IF($A152="","",IF(N(Y152)=0,"",$A152+VLOOKUP(X152,Schichten!$A$5:$G$24,3,FALSE())))</f>
        <v>46535.9166666667</v>
      </c>
      <c r="AB152" s="28" t="n">
        <f aca="false">IF(AA152="","",$A152+VLOOKUP(X152,Schichten!$A$5:$G$24,4,FALSE())+IF(VLOOKUP(X152,Schichten!$A$5:$G$24,4,FALSE())&lt;=VLOOKUP(X152,Schichten!$A$5:$G$24,3,FALSE()),1,0))</f>
        <v>46536.25</v>
      </c>
      <c r="AC152" s="28" t="n">
        <f aca="false">IF($A152="","",IF(N(Y151)&gt;0,AB151,AC151))</f>
        <v>46534.9166666667</v>
      </c>
      <c r="AD152" s="27" t="n">
        <f aca="false">IF(OR(AA152="",AC152=""),"",(AA152-AC152)*24)</f>
        <v>24</v>
      </c>
      <c r="AE152" s="21" t="n">
        <f aca="false">IF($A152="","",IF(N(Y152)&gt;0,N(AE151)+1,0))</f>
        <v>5</v>
      </c>
      <c r="AF152" s="21" t="n">
        <f aca="false">IF($A152="","",IF(N(Z152)&gt;0,N(AF151)+1,0))</f>
        <v>1</v>
      </c>
      <c r="AG152" s="21" t="str">
        <f aca="false">IF($A152="","",IF(WEEKDAY($A152,2)&lt;&gt;7,"",IF(AND(OR(AA152="",N(AA152)&gt;=$A152+16/24,N(AB152)&lt;=$A152+6/24),OR(AC152="",N(AC152)&lt;=$A152+6/24)),1,0)))</f>
        <v/>
      </c>
      <c r="AH152" s="26" t="str">
        <f aca="false">IF($A152="","",IF(INDEX(Muster!$C$9:$BF$9,1,MOD($A152-Einstellungen!$C$6,Einstellungen!$C$7)+1)="","-",INDEX(Muster!$C$9:$BF$9,1,MOD($A152-Einstellungen!$C$6,Einstellungen!$C$7)+1)))</f>
        <v>S</v>
      </c>
      <c r="AI152" s="27" t="n">
        <f aca="false">IF($A152="","",IFERROR(VLOOKUP(AH152,Schichten!$A$5:$G$24,6,FALSE()),0))</f>
        <v>8</v>
      </c>
      <c r="AJ152" s="27" t="n">
        <f aca="false">IF($A152="","",IFERROR(VLOOKUP(AH152,Schichten!$A$5:$G$24,7,FALSE()),0))</f>
        <v>0</v>
      </c>
      <c r="AK152" s="28" t="n">
        <f aca="false">IF($A152="","",IF(N(AI152)=0,"",$A152+VLOOKUP(AH152,Schichten!$A$5:$G$24,3,FALSE())))</f>
        <v>46535.5833333333</v>
      </c>
      <c r="AL152" s="28" t="n">
        <f aca="false">IF(AK152="","",$A152+VLOOKUP(AH152,Schichten!$A$5:$G$24,4,FALSE())+IF(VLOOKUP(AH152,Schichten!$A$5:$G$24,4,FALSE())&lt;=VLOOKUP(AH152,Schichten!$A$5:$G$24,3,FALSE()),1,0))</f>
        <v>46535.9166666667</v>
      </c>
      <c r="AM152" s="28" t="n">
        <f aca="false">IF($A152="","",IF(N(AI151)&gt;0,AL151,AM151))</f>
        <v>46534.5833333333</v>
      </c>
      <c r="AN152" s="27" t="n">
        <f aca="false">IF(OR(AK152="",AM152=""),"",(AK152-AM152)*24)</f>
        <v>24</v>
      </c>
      <c r="AO152" s="21" t="n">
        <f aca="false">IF($A152="","",IF(N(AI152)&gt;0,N(AO151)+1,0))</f>
        <v>3</v>
      </c>
      <c r="AP152" s="21" t="n">
        <f aca="false">IF($A152="","",IF(N(AJ152)&gt;0,N(AP151)+1,0))</f>
        <v>0</v>
      </c>
      <c r="AQ152" s="21" t="str">
        <f aca="false">IF($A152="","",IF(WEEKDAY($A152,2)&lt;&gt;7,"",IF(AND(OR(AK152="",N(AK152)&gt;=$A152+16/24,N(AL152)&lt;=$A152+6/24),OR(AM152="",N(AM152)&lt;=$A152+6/24)),1,0)))</f>
        <v/>
      </c>
      <c r="AR152" s="26" t="str">
        <f aca="false">IF($A152="","",IF(INDEX(Muster!$C$10:$BF$10,1,MOD($A152-Einstellungen!$C$6,Einstellungen!$C$7)+1)="","-",INDEX(Muster!$C$10:$BF$10,1,MOD($A152-Einstellungen!$C$6,Einstellungen!$C$7)+1)))</f>
        <v>-</v>
      </c>
      <c r="AS152" s="27" t="n">
        <f aca="false">IF($A152="","",IFERROR(VLOOKUP(AR152,Schichten!$A$5:$G$24,6,FALSE()),0))</f>
        <v>0</v>
      </c>
      <c r="AT152" s="27" t="n">
        <f aca="false">IF($A152="","",IFERROR(VLOOKUP(AR152,Schichten!$A$5:$G$24,7,FALSE()),0))</f>
        <v>0</v>
      </c>
      <c r="AU152" s="28" t="str">
        <f aca="false">IF($A152="","",IF(N(AS152)=0,"",$A152+VLOOKUP(AR152,Schichten!$A$5:$G$24,3,FALSE())))</f>
        <v/>
      </c>
      <c r="AV152" s="28" t="str">
        <f aca="false">IF(AU152="","",$A152+VLOOKUP(AR152,Schichten!$A$5:$G$24,4,FALSE())+IF(VLOOKUP(AR152,Schichten!$A$5:$G$24,4,FALSE())&lt;=VLOOKUP(AR152,Schichten!$A$5:$G$24,3,FALSE()),1,0))</f>
        <v/>
      </c>
      <c r="AW152" s="28" t="str">
        <f aca="false">IF($A152="","",IF(N(AS151)&gt;0,AV151,AW151))</f>
        <v/>
      </c>
      <c r="AX152" s="27" t="str">
        <f aca="false">IF(OR(AU152="",AW152=""),"",(AU152-AW152)*24)</f>
        <v/>
      </c>
      <c r="AY152" s="21" t="n">
        <f aca="false">IF($A152="","",IF(N(AS152)&gt;0,N(AY151)+1,0))</f>
        <v>0</v>
      </c>
      <c r="AZ152" s="21" t="n">
        <f aca="false">IF($A152="","",IF(N(AT152)&gt;0,N(AZ151)+1,0))</f>
        <v>0</v>
      </c>
      <c r="BA152" s="21" t="str">
        <f aca="false">IF($A152="","",IF(WEEKDAY($A152,2)&lt;&gt;7,"",IF(AND(OR(AU152="",N(AU152)&gt;=$A152+16/24,N(AV152)&lt;=$A152+6/24),OR(AW152="",N(AW152)&lt;=$A152+6/24)),1,0)))</f>
        <v/>
      </c>
    </row>
    <row r="153" customFormat="false" ht="15" hidden="false" customHeight="false" outlineLevel="0" collapsed="false">
      <c r="A153" s="25" t="n">
        <f aca="false">IF(YEAR(DATE(Einstellungen!$C$4,1,1)+148)=Einstellungen!$C$4,DATE(Einstellungen!$C$4,1,1)+148,"")</f>
        <v>46536</v>
      </c>
      <c r="B153" s="26" t="str">
        <f aca="false">IF($A153="","",CHOOSE(WEEKDAY($A153,2),"Mo","Di","Mi","Do","Fr","Sa","So"))</f>
        <v>Sa</v>
      </c>
      <c r="C153" s="26" t="n">
        <f aca="false">IF($A153="","",MONTH($A153))</f>
        <v>5</v>
      </c>
      <c r="D153" s="26" t="str">
        <f aca="false">IF($A153="","",IF(INDEX(Muster!$C$6:$BF$6,1,MOD($A153-Einstellungen!$C$6,Einstellungen!$C$7)+1)="","-",INDEX(Muster!$C$6:$BF$6,1,MOD($A153-Einstellungen!$C$6,Einstellungen!$C$7)+1)))</f>
        <v>F</v>
      </c>
      <c r="E153" s="27" t="n">
        <f aca="false">IF($A153="","",IFERROR(VLOOKUP(D153,Schichten!$A$5:$G$24,6,FALSE()),0))</f>
        <v>8</v>
      </c>
      <c r="F153" s="27" t="n">
        <f aca="false">IF($A153="","",IFERROR(VLOOKUP(D153,Schichten!$A$5:$G$24,7,FALSE()),0))</f>
        <v>0</v>
      </c>
      <c r="G153" s="28" t="n">
        <f aca="false">IF($A153="","",IF(N(E153)=0,"",$A153+VLOOKUP(D153,Schichten!$A$5:$G$24,3,FALSE())))</f>
        <v>46536.25</v>
      </c>
      <c r="H153" s="28" t="n">
        <f aca="false">IF(G153="","",$A153+VLOOKUP(D153,Schichten!$A$5:$G$24,4,FALSE())+IF(VLOOKUP(D153,Schichten!$A$5:$G$24,4,FALSE())&lt;=VLOOKUP(D153,Schichten!$A$5:$G$24,3,FALSE()),1,0))</f>
        <v>46536.5833333333</v>
      </c>
      <c r="I153" s="28" t="n">
        <f aca="false">IF($A153="","",IF(N(E152)&gt;0,H152,I152))</f>
        <v>46535.5833333333</v>
      </c>
      <c r="J153" s="27" t="n">
        <f aca="false">IF(OR(G153="",I153=""),"",(G153-I153)*24)</f>
        <v>16</v>
      </c>
      <c r="K153" s="21" t="n">
        <f aca="false">IF($A153="","",IF(N(E153)&gt;0,N(K152)+1,0))</f>
        <v>2</v>
      </c>
      <c r="L153" s="21" t="n">
        <f aca="false">IF($A153="","",IF(N(F153)&gt;0,N(L152)+1,0))</f>
        <v>0</v>
      </c>
      <c r="M153" s="21" t="str">
        <f aca="false">IF($A153="","",IF(WEEKDAY($A153,2)&lt;&gt;7,"",IF(AND(OR(G153="",N(G153)&gt;=$A153+16/24,N(H153)&lt;=$A153+6/24),OR(I153="",N(I153)&lt;=$A153+6/24)),1,0)))</f>
        <v/>
      </c>
      <c r="N153" s="26" t="str">
        <f aca="false">IF($A153="","",IF(INDEX(Muster!$C$7:$BF$7,1,MOD($A153-Einstellungen!$C$6,Einstellungen!$C$7)+1)="","-",INDEX(Muster!$C$7:$BF$7,1,MOD($A153-Einstellungen!$C$6,Einstellungen!$C$7)+1)))</f>
        <v>-</v>
      </c>
      <c r="O153" s="27" t="n">
        <f aca="false">IF($A153="","",IFERROR(VLOOKUP(N153,Schichten!$A$5:$G$24,6,FALSE()),0))</f>
        <v>0</v>
      </c>
      <c r="P153" s="27" t="n">
        <f aca="false">IF($A153="","",IFERROR(VLOOKUP(N153,Schichten!$A$5:$G$24,7,FALSE()),0))</f>
        <v>0</v>
      </c>
      <c r="Q153" s="28" t="str">
        <f aca="false">IF($A153="","",IF(N(O153)=0,"",$A153+VLOOKUP(N153,Schichten!$A$5:$G$24,3,FALSE())))</f>
        <v/>
      </c>
      <c r="R153" s="28" t="str">
        <f aca="false">IF(Q153="","",$A153+VLOOKUP(N153,Schichten!$A$5:$G$24,4,FALSE())+IF(VLOOKUP(N153,Schichten!$A$5:$G$24,4,FALSE())&lt;=VLOOKUP(N153,Schichten!$A$5:$G$24,3,FALSE()),1,0))</f>
        <v/>
      </c>
      <c r="S153" s="28" t="n">
        <f aca="false">IF($A153="","",IF(N(O152)&gt;0,R152,S152))</f>
        <v>46535.25</v>
      </c>
      <c r="T153" s="27" t="str">
        <f aca="false">IF(OR(Q153="",S153=""),"",(Q153-S153)*24)</f>
        <v/>
      </c>
      <c r="U153" s="21" t="n">
        <f aca="false">IF($A153="","",IF(N(O153)&gt;0,N(U152)+1,0))</f>
        <v>0</v>
      </c>
      <c r="V153" s="21" t="n">
        <f aca="false">IF($A153="","",IF(N(P153)&gt;0,N(V152)+1,0))</f>
        <v>0</v>
      </c>
      <c r="W153" s="21" t="str">
        <f aca="false">IF($A153="","",IF(WEEKDAY($A153,2)&lt;&gt;7,"",IF(AND(OR(Q153="",N(Q153)&gt;=$A153+16/24,N(R153)&lt;=$A153+6/24),OR(S153="",N(S153)&lt;=$A153+6/24)),1,0)))</f>
        <v/>
      </c>
      <c r="X153" s="26" t="str">
        <f aca="false">IF($A153="","",IF(INDEX(Muster!$C$8:$BF$8,1,MOD($A153-Einstellungen!$C$6,Einstellungen!$C$7)+1)="","-",INDEX(Muster!$C$8:$BF$8,1,MOD($A153-Einstellungen!$C$6,Einstellungen!$C$7)+1)))</f>
        <v>N</v>
      </c>
      <c r="Y153" s="27" t="n">
        <f aca="false">IF($A153="","",IFERROR(VLOOKUP(X153,Schichten!$A$5:$G$24,6,FALSE()),0))</f>
        <v>8</v>
      </c>
      <c r="Z153" s="27" t="n">
        <f aca="false">IF($A153="","",IFERROR(VLOOKUP(X153,Schichten!$A$5:$G$24,7,FALSE()),0))</f>
        <v>7</v>
      </c>
      <c r="AA153" s="28" t="n">
        <f aca="false">IF($A153="","",IF(N(Y153)=0,"",$A153+VLOOKUP(X153,Schichten!$A$5:$G$24,3,FALSE())))</f>
        <v>46536.9166666667</v>
      </c>
      <c r="AB153" s="28" t="n">
        <f aca="false">IF(AA153="","",$A153+VLOOKUP(X153,Schichten!$A$5:$G$24,4,FALSE())+IF(VLOOKUP(X153,Schichten!$A$5:$G$24,4,FALSE())&lt;=VLOOKUP(X153,Schichten!$A$5:$G$24,3,FALSE()),1,0))</f>
        <v>46537.25</v>
      </c>
      <c r="AC153" s="28" t="n">
        <f aca="false">IF($A153="","",IF(N(Y152)&gt;0,AB152,AC152))</f>
        <v>46536.25</v>
      </c>
      <c r="AD153" s="27" t="n">
        <f aca="false">IF(OR(AA153="",AC153=""),"",(AA153-AC153)*24)</f>
        <v>16</v>
      </c>
      <c r="AE153" s="21" t="n">
        <f aca="false">IF($A153="","",IF(N(Y153)&gt;0,N(AE152)+1,0))</f>
        <v>6</v>
      </c>
      <c r="AF153" s="21" t="n">
        <f aca="false">IF($A153="","",IF(N(Z153)&gt;0,N(AF152)+1,0))</f>
        <v>2</v>
      </c>
      <c r="AG153" s="21" t="str">
        <f aca="false">IF($A153="","",IF(WEEKDAY($A153,2)&lt;&gt;7,"",IF(AND(OR(AA153="",N(AA153)&gt;=$A153+16/24,N(AB153)&lt;=$A153+6/24),OR(AC153="",N(AC153)&lt;=$A153+6/24)),1,0)))</f>
        <v/>
      </c>
      <c r="AH153" s="26" t="str">
        <f aca="false">IF($A153="","",IF(INDEX(Muster!$C$9:$BF$9,1,MOD($A153-Einstellungen!$C$6,Einstellungen!$C$7)+1)="","-",INDEX(Muster!$C$9:$BF$9,1,MOD($A153-Einstellungen!$C$6,Einstellungen!$C$7)+1)))</f>
        <v>S</v>
      </c>
      <c r="AI153" s="27" t="n">
        <f aca="false">IF($A153="","",IFERROR(VLOOKUP(AH153,Schichten!$A$5:$G$24,6,FALSE()),0))</f>
        <v>8</v>
      </c>
      <c r="AJ153" s="27" t="n">
        <f aca="false">IF($A153="","",IFERROR(VLOOKUP(AH153,Schichten!$A$5:$G$24,7,FALSE()),0))</f>
        <v>0</v>
      </c>
      <c r="AK153" s="28" t="n">
        <f aca="false">IF($A153="","",IF(N(AI153)=0,"",$A153+VLOOKUP(AH153,Schichten!$A$5:$G$24,3,FALSE())))</f>
        <v>46536.5833333333</v>
      </c>
      <c r="AL153" s="28" t="n">
        <f aca="false">IF(AK153="","",$A153+VLOOKUP(AH153,Schichten!$A$5:$G$24,4,FALSE())+IF(VLOOKUP(AH153,Schichten!$A$5:$G$24,4,FALSE())&lt;=VLOOKUP(AH153,Schichten!$A$5:$G$24,3,FALSE()),1,0))</f>
        <v>46536.9166666667</v>
      </c>
      <c r="AM153" s="28" t="n">
        <f aca="false">IF($A153="","",IF(N(AI152)&gt;0,AL152,AM152))</f>
        <v>46535.9166666667</v>
      </c>
      <c r="AN153" s="27" t="n">
        <f aca="false">IF(OR(AK153="",AM153=""),"",(AK153-AM153)*24)</f>
        <v>16</v>
      </c>
      <c r="AO153" s="21" t="n">
        <f aca="false">IF($A153="","",IF(N(AI153)&gt;0,N(AO152)+1,0))</f>
        <v>4</v>
      </c>
      <c r="AP153" s="21" t="n">
        <f aca="false">IF($A153="","",IF(N(AJ153)&gt;0,N(AP152)+1,0))</f>
        <v>0</v>
      </c>
      <c r="AQ153" s="21" t="str">
        <f aca="false">IF($A153="","",IF(WEEKDAY($A153,2)&lt;&gt;7,"",IF(AND(OR(AK153="",N(AK153)&gt;=$A153+16/24,N(AL153)&lt;=$A153+6/24),OR(AM153="",N(AM153)&lt;=$A153+6/24)),1,0)))</f>
        <v/>
      </c>
      <c r="AR153" s="26" t="str">
        <f aca="false">IF($A153="","",IF(INDEX(Muster!$C$10:$BF$10,1,MOD($A153-Einstellungen!$C$6,Einstellungen!$C$7)+1)="","-",INDEX(Muster!$C$10:$BF$10,1,MOD($A153-Einstellungen!$C$6,Einstellungen!$C$7)+1)))</f>
        <v>-</v>
      </c>
      <c r="AS153" s="27" t="n">
        <f aca="false">IF($A153="","",IFERROR(VLOOKUP(AR153,Schichten!$A$5:$G$24,6,FALSE()),0))</f>
        <v>0</v>
      </c>
      <c r="AT153" s="27" t="n">
        <f aca="false">IF($A153="","",IFERROR(VLOOKUP(AR153,Schichten!$A$5:$G$24,7,FALSE()),0))</f>
        <v>0</v>
      </c>
      <c r="AU153" s="28" t="str">
        <f aca="false">IF($A153="","",IF(N(AS153)=0,"",$A153+VLOOKUP(AR153,Schichten!$A$5:$G$24,3,FALSE())))</f>
        <v/>
      </c>
      <c r="AV153" s="28" t="str">
        <f aca="false">IF(AU153="","",$A153+VLOOKUP(AR153,Schichten!$A$5:$G$24,4,FALSE())+IF(VLOOKUP(AR153,Schichten!$A$5:$G$24,4,FALSE())&lt;=VLOOKUP(AR153,Schichten!$A$5:$G$24,3,FALSE()),1,0))</f>
        <v/>
      </c>
      <c r="AW153" s="28" t="str">
        <f aca="false">IF($A153="","",IF(N(AS152)&gt;0,AV152,AW152))</f>
        <v/>
      </c>
      <c r="AX153" s="27" t="str">
        <f aca="false">IF(OR(AU153="",AW153=""),"",(AU153-AW153)*24)</f>
        <v/>
      </c>
      <c r="AY153" s="21" t="n">
        <f aca="false">IF($A153="","",IF(N(AS153)&gt;0,N(AY152)+1,0))</f>
        <v>0</v>
      </c>
      <c r="AZ153" s="21" t="n">
        <f aca="false">IF($A153="","",IF(N(AT153)&gt;0,N(AZ152)+1,0))</f>
        <v>0</v>
      </c>
      <c r="BA153" s="21" t="str">
        <f aca="false">IF($A153="","",IF(WEEKDAY($A153,2)&lt;&gt;7,"",IF(AND(OR(AU153="",N(AU153)&gt;=$A153+16/24,N(AV153)&lt;=$A153+6/24),OR(AW153="",N(AW153)&lt;=$A153+6/24)),1,0)))</f>
        <v/>
      </c>
    </row>
    <row r="154" customFormat="false" ht="15" hidden="false" customHeight="false" outlineLevel="0" collapsed="false">
      <c r="A154" s="25" t="n">
        <f aca="false">IF(YEAR(DATE(Einstellungen!$C$4,1,1)+149)=Einstellungen!$C$4,DATE(Einstellungen!$C$4,1,1)+149,"")</f>
        <v>46537</v>
      </c>
      <c r="B154" s="26" t="str">
        <f aca="false">IF($A154="","",CHOOSE(WEEKDAY($A154,2),"Mo","Di","Mi","Do","Fr","Sa","So"))</f>
        <v>So</v>
      </c>
      <c r="C154" s="26" t="n">
        <f aca="false">IF($A154="","",MONTH($A154))</f>
        <v>5</v>
      </c>
      <c r="D154" s="26" t="str">
        <f aca="false">IF($A154="","",IF(INDEX(Muster!$C$6:$BF$6,1,MOD($A154-Einstellungen!$C$6,Einstellungen!$C$7)+1)="","-",INDEX(Muster!$C$6:$BF$6,1,MOD($A154-Einstellungen!$C$6,Einstellungen!$C$7)+1)))</f>
        <v>S</v>
      </c>
      <c r="E154" s="27" t="n">
        <f aca="false">IF($A154="","",IFERROR(VLOOKUP(D154,Schichten!$A$5:$G$24,6,FALSE()),0))</f>
        <v>8</v>
      </c>
      <c r="F154" s="27" t="n">
        <f aca="false">IF($A154="","",IFERROR(VLOOKUP(D154,Schichten!$A$5:$G$24,7,FALSE()),0))</f>
        <v>0</v>
      </c>
      <c r="G154" s="28" t="n">
        <f aca="false">IF($A154="","",IF(N(E154)=0,"",$A154+VLOOKUP(D154,Schichten!$A$5:$G$24,3,FALSE())))</f>
        <v>46537.5833333333</v>
      </c>
      <c r="H154" s="28" t="n">
        <f aca="false">IF(G154="","",$A154+VLOOKUP(D154,Schichten!$A$5:$G$24,4,FALSE())+IF(VLOOKUP(D154,Schichten!$A$5:$G$24,4,FALSE())&lt;=VLOOKUP(D154,Schichten!$A$5:$G$24,3,FALSE()),1,0))</f>
        <v>46537.9166666667</v>
      </c>
      <c r="I154" s="28" t="n">
        <f aca="false">IF($A154="","",IF(N(E153)&gt;0,H153,I153))</f>
        <v>46536.5833333333</v>
      </c>
      <c r="J154" s="27" t="n">
        <f aca="false">IF(OR(G154="",I154=""),"",(G154-I154)*24)</f>
        <v>24</v>
      </c>
      <c r="K154" s="21" t="n">
        <f aca="false">IF($A154="","",IF(N(E154)&gt;0,N(K153)+1,0))</f>
        <v>3</v>
      </c>
      <c r="L154" s="21" t="n">
        <f aca="false">IF($A154="","",IF(N(F154)&gt;0,N(L153)+1,0))</f>
        <v>0</v>
      </c>
      <c r="M154" s="21" t="n">
        <f aca="false">IF($A154="","",IF(WEEKDAY($A154,2)&lt;&gt;7,"",IF(AND(OR(G154="",N(G154)&gt;=$A154+16/24,N(H154)&lt;=$A154+6/24),OR(I154="",N(I154)&lt;=$A154+6/24)),1,0)))</f>
        <v>0</v>
      </c>
      <c r="N154" s="26" t="str">
        <f aca="false">IF($A154="","",IF(INDEX(Muster!$C$7:$BF$7,1,MOD($A154-Einstellungen!$C$6,Einstellungen!$C$7)+1)="","-",INDEX(Muster!$C$7:$BF$7,1,MOD($A154-Einstellungen!$C$6,Einstellungen!$C$7)+1)))</f>
        <v>F</v>
      </c>
      <c r="O154" s="27" t="n">
        <f aca="false">IF($A154="","",IFERROR(VLOOKUP(N154,Schichten!$A$5:$G$24,6,FALSE()),0))</f>
        <v>8</v>
      </c>
      <c r="P154" s="27" t="n">
        <f aca="false">IF($A154="","",IFERROR(VLOOKUP(N154,Schichten!$A$5:$G$24,7,FALSE()),0))</f>
        <v>0</v>
      </c>
      <c r="Q154" s="28" t="n">
        <f aca="false">IF($A154="","",IF(N(O154)=0,"",$A154+VLOOKUP(N154,Schichten!$A$5:$G$24,3,FALSE())))</f>
        <v>46537.25</v>
      </c>
      <c r="R154" s="28" t="n">
        <f aca="false">IF(Q154="","",$A154+VLOOKUP(N154,Schichten!$A$5:$G$24,4,FALSE())+IF(VLOOKUP(N154,Schichten!$A$5:$G$24,4,FALSE())&lt;=VLOOKUP(N154,Schichten!$A$5:$G$24,3,FALSE()),1,0))</f>
        <v>46537.5833333333</v>
      </c>
      <c r="S154" s="28" t="n">
        <f aca="false">IF($A154="","",IF(N(O153)&gt;0,R153,S153))</f>
        <v>46535.25</v>
      </c>
      <c r="T154" s="27" t="n">
        <f aca="false">IF(OR(Q154="",S154=""),"",(Q154-S154)*24)</f>
        <v>48</v>
      </c>
      <c r="U154" s="21" t="n">
        <f aca="false">IF($A154="","",IF(N(O154)&gt;0,N(U153)+1,0))</f>
        <v>1</v>
      </c>
      <c r="V154" s="21" t="n">
        <f aca="false">IF($A154="","",IF(N(P154)&gt;0,N(V153)+1,0))</f>
        <v>0</v>
      </c>
      <c r="W154" s="21" t="n">
        <f aca="false">IF($A154="","",IF(WEEKDAY($A154,2)&lt;&gt;7,"",IF(AND(OR(Q154="",N(Q154)&gt;=$A154+16/24,N(R154)&lt;=$A154+6/24),OR(S154="",N(S154)&lt;=$A154+6/24)),1,0)))</f>
        <v>0</v>
      </c>
      <c r="X154" s="26" t="str">
        <f aca="false">IF($A154="","",IF(INDEX(Muster!$C$8:$BF$8,1,MOD($A154-Einstellungen!$C$6,Einstellungen!$C$7)+1)="","-",INDEX(Muster!$C$8:$BF$8,1,MOD($A154-Einstellungen!$C$6,Einstellungen!$C$7)+1)))</f>
        <v>-</v>
      </c>
      <c r="Y154" s="27" t="n">
        <f aca="false">IF($A154="","",IFERROR(VLOOKUP(X154,Schichten!$A$5:$G$24,6,FALSE()),0))</f>
        <v>0</v>
      </c>
      <c r="Z154" s="27" t="n">
        <f aca="false">IF($A154="","",IFERROR(VLOOKUP(X154,Schichten!$A$5:$G$24,7,FALSE()),0))</f>
        <v>0</v>
      </c>
      <c r="AA154" s="28" t="str">
        <f aca="false">IF($A154="","",IF(N(Y154)=0,"",$A154+VLOOKUP(X154,Schichten!$A$5:$G$24,3,FALSE())))</f>
        <v/>
      </c>
      <c r="AB154" s="28" t="str">
        <f aca="false">IF(AA154="","",$A154+VLOOKUP(X154,Schichten!$A$5:$G$24,4,FALSE())+IF(VLOOKUP(X154,Schichten!$A$5:$G$24,4,FALSE())&lt;=VLOOKUP(X154,Schichten!$A$5:$G$24,3,FALSE()),1,0))</f>
        <v/>
      </c>
      <c r="AC154" s="28" t="n">
        <f aca="false">IF($A154="","",IF(N(Y153)&gt;0,AB153,AC153))</f>
        <v>46537.25</v>
      </c>
      <c r="AD154" s="27" t="str">
        <f aca="false">IF(OR(AA154="",AC154=""),"",(AA154-AC154)*24)</f>
        <v/>
      </c>
      <c r="AE154" s="21" t="n">
        <f aca="false">IF($A154="","",IF(N(Y154)&gt;0,N(AE153)+1,0))</f>
        <v>0</v>
      </c>
      <c r="AF154" s="21" t="n">
        <f aca="false">IF($A154="","",IF(N(Z154)&gt;0,N(AF153)+1,0))</f>
        <v>0</v>
      </c>
      <c r="AG154" s="21" t="n">
        <f aca="false">IF($A154="","",IF(WEEKDAY($A154,2)&lt;&gt;7,"",IF(AND(OR(AA154="",N(AA154)&gt;=$A154+16/24,N(AB154)&lt;=$A154+6/24),OR(AC154="",N(AC154)&lt;=$A154+6/24)),1,0)))</f>
        <v>1</v>
      </c>
      <c r="AH154" s="26" t="str">
        <f aca="false">IF($A154="","",IF(INDEX(Muster!$C$9:$BF$9,1,MOD($A154-Einstellungen!$C$6,Einstellungen!$C$7)+1)="","-",INDEX(Muster!$C$9:$BF$9,1,MOD($A154-Einstellungen!$C$6,Einstellungen!$C$7)+1)))</f>
        <v>N</v>
      </c>
      <c r="AI154" s="27" t="n">
        <f aca="false">IF($A154="","",IFERROR(VLOOKUP(AH154,Schichten!$A$5:$G$24,6,FALSE()),0))</f>
        <v>8</v>
      </c>
      <c r="AJ154" s="27" t="n">
        <f aca="false">IF($A154="","",IFERROR(VLOOKUP(AH154,Schichten!$A$5:$G$24,7,FALSE()),0))</f>
        <v>7</v>
      </c>
      <c r="AK154" s="28" t="n">
        <f aca="false">IF($A154="","",IF(N(AI154)=0,"",$A154+VLOOKUP(AH154,Schichten!$A$5:$G$24,3,FALSE())))</f>
        <v>46537.9166666667</v>
      </c>
      <c r="AL154" s="28" t="n">
        <f aca="false">IF(AK154="","",$A154+VLOOKUP(AH154,Schichten!$A$5:$G$24,4,FALSE())+IF(VLOOKUP(AH154,Schichten!$A$5:$G$24,4,FALSE())&lt;=VLOOKUP(AH154,Schichten!$A$5:$G$24,3,FALSE()),1,0))</f>
        <v>46538.25</v>
      </c>
      <c r="AM154" s="28" t="n">
        <f aca="false">IF($A154="","",IF(N(AI153)&gt;0,AL153,AM153))</f>
        <v>46536.9166666667</v>
      </c>
      <c r="AN154" s="27" t="n">
        <f aca="false">IF(OR(AK154="",AM154=""),"",(AK154-AM154)*24)</f>
        <v>24</v>
      </c>
      <c r="AO154" s="21" t="n">
        <f aca="false">IF($A154="","",IF(N(AI154)&gt;0,N(AO153)+1,0))</f>
        <v>5</v>
      </c>
      <c r="AP154" s="21" t="n">
        <f aca="false">IF($A154="","",IF(N(AJ154)&gt;0,N(AP153)+1,0))</f>
        <v>1</v>
      </c>
      <c r="AQ154" s="21" t="n">
        <f aca="false">IF($A154="","",IF(WEEKDAY($A154,2)&lt;&gt;7,"",IF(AND(OR(AK154="",N(AK154)&gt;=$A154+16/24,N(AL154)&lt;=$A154+6/24),OR(AM154="",N(AM154)&lt;=$A154+6/24)),1,0)))</f>
        <v>1</v>
      </c>
      <c r="AR154" s="26" t="str">
        <f aca="false">IF($A154="","",IF(INDEX(Muster!$C$10:$BF$10,1,MOD($A154-Einstellungen!$C$6,Einstellungen!$C$7)+1)="","-",INDEX(Muster!$C$10:$BF$10,1,MOD($A154-Einstellungen!$C$6,Einstellungen!$C$7)+1)))</f>
        <v>-</v>
      </c>
      <c r="AS154" s="27" t="n">
        <f aca="false">IF($A154="","",IFERROR(VLOOKUP(AR154,Schichten!$A$5:$G$24,6,FALSE()),0))</f>
        <v>0</v>
      </c>
      <c r="AT154" s="27" t="n">
        <f aca="false">IF($A154="","",IFERROR(VLOOKUP(AR154,Schichten!$A$5:$G$24,7,FALSE()),0))</f>
        <v>0</v>
      </c>
      <c r="AU154" s="28" t="str">
        <f aca="false">IF($A154="","",IF(N(AS154)=0,"",$A154+VLOOKUP(AR154,Schichten!$A$5:$G$24,3,FALSE())))</f>
        <v/>
      </c>
      <c r="AV154" s="28" t="str">
        <f aca="false">IF(AU154="","",$A154+VLOOKUP(AR154,Schichten!$A$5:$G$24,4,FALSE())+IF(VLOOKUP(AR154,Schichten!$A$5:$G$24,4,FALSE())&lt;=VLOOKUP(AR154,Schichten!$A$5:$G$24,3,FALSE()),1,0))</f>
        <v/>
      </c>
      <c r="AW154" s="28" t="str">
        <f aca="false">IF($A154="","",IF(N(AS153)&gt;0,AV153,AW153))</f>
        <v/>
      </c>
      <c r="AX154" s="27" t="str">
        <f aca="false">IF(OR(AU154="",AW154=""),"",(AU154-AW154)*24)</f>
        <v/>
      </c>
      <c r="AY154" s="21" t="n">
        <f aca="false">IF($A154="","",IF(N(AS154)&gt;0,N(AY153)+1,0))</f>
        <v>0</v>
      </c>
      <c r="AZ154" s="21" t="n">
        <f aca="false">IF($A154="","",IF(N(AT154)&gt;0,N(AZ153)+1,0))</f>
        <v>0</v>
      </c>
      <c r="BA154" s="21" t="n">
        <f aca="false">IF($A154="","",IF(WEEKDAY($A154,2)&lt;&gt;7,"",IF(AND(OR(AU154="",N(AU154)&gt;=$A154+16/24,N(AV154)&lt;=$A154+6/24),OR(AW154="",N(AW154)&lt;=$A154+6/24)),1,0)))</f>
        <v>1</v>
      </c>
    </row>
    <row r="155" customFormat="false" ht="15" hidden="false" customHeight="false" outlineLevel="0" collapsed="false">
      <c r="A155" s="25" t="n">
        <f aca="false">IF(YEAR(DATE(Einstellungen!$C$4,1,1)+150)=Einstellungen!$C$4,DATE(Einstellungen!$C$4,1,1)+150,"")</f>
        <v>46538</v>
      </c>
      <c r="B155" s="26" t="str">
        <f aca="false">IF($A155="","",CHOOSE(WEEKDAY($A155,2),"Mo","Di","Mi","Do","Fr","Sa","So"))</f>
        <v>Mo</v>
      </c>
      <c r="C155" s="26" t="n">
        <f aca="false">IF($A155="","",MONTH($A155))</f>
        <v>5</v>
      </c>
      <c r="D155" s="26" t="str">
        <f aca="false">IF($A155="","",IF(INDEX(Muster!$C$6:$BF$6,1,MOD($A155-Einstellungen!$C$6,Einstellungen!$C$7)+1)="","-",INDEX(Muster!$C$6:$BF$6,1,MOD($A155-Einstellungen!$C$6,Einstellungen!$C$7)+1)))</f>
        <v>S</v>
      </c>
      <c r="E155" s="27" t="n">
        <f aca="false">IF($A155="","",IFERROR(VLOOKUP(D155,Schichten!$A$5:$G$24,6,FALSE()),0))</f>
        <v>8</v>
      </c>
      <c r="F155" s="27" t="n">
        <f aca="false">IF($A155="","",IFERROR(VLOOKUP(D155,Schichten!$A$5:$G$24,7,FALSE()),0))</f>
        <v>0</v>
      </c>
      <c r="G155" s="28" t="n">
        <f aca="false">IF($A155="","",IF(N(E155)=0,"",$A155+VLOOKUP(D155,Schichten!$A$5:$G$24,3,FALSE())))</f>
        <v>46538.5833333333</v>
      </c>
      <c r="H155" s="28" t="n">
        <f aca="false">IF(G155="","",$A155+VLOOKUP(D155,Schichten!$A$5:$G$24,4,FALSE())+IF(VLOOKUP(D155,Schichten!$A$5:$G$24,4,FALSE())&lt;=VLOOKUP(D155,Schichten!$A$5:$G$24,3,FALSE()),1,0))</f>
        <v>46538.9166666667</v>
      </c>
      <c r="I155" s="28" t="n">
        <f aca="false">IF($A155="","",IF(N(E154)&gt;0,H154,I154))</f>
        <v>46537.9166666667</v>
      </c>
      <c r="J155" s="27" t="n">
        <f aca="false">IF(OR(G155="",I155=""),"",(G155-I155)*24)</f>
        <v>16</v>
      </c>
      <c r="K155" s="21" t="n">
        <f aca="false">IF($A155="","",IF(N(E155)&gt;0,N(K154)+1,0))</f>
        <v>4</v>
      </c>
      <c r="L155" s="21" t="n">
        <f aca="false">IF($A155="","",IF(N(F155)&gt;0,N(L154)+1,0))</f>
        <v>0</v>
      </c>
      <c r="M155" s="21" t="str">
        <f aca="false">IF($A155="","",IF(WEEKDAY($A155,2)&lt;&gt;7,"",IF(AND(OR(G155="",N(G155)&gt;=$A155+16/24,N(H155)&lt;=$A155+6/24),OR(I155="",N(I155)&lt;=$A155+6/24)),1,0)))</f>
        <v/>
      </c>
      <c r="N155" s="26" t="str">
        <f aca="false">IF($A155="","",IF(INDEX(Muster!$C$7:$BF$7,1,MOD($A155-Einstellungen!$C$6,Einstellungen!$C$7)+1)="","-",INDEX(Muster!$C$7:$BF$7,1,MOD($A155-Einstellungen!$C$6,Einstellungen!$C$7)+1)))</f>
        <v>F</v>
      </c>
      <c r="O155" s="27" t="n">
        <f aca="false">IF($A155="","",IFERROR(VLOOKUP(N155,Schichten!$A$5:$G$24,6,FALSE()),0))</f>
        <v>8</v>
      </c>
      <c r="P155" s="27" t="n">
        <f aca="false">IF($A155="","",IFERROR(VLOOKUP(N155,Schichten!$A$5:$G$24,7,FALSE()),0))</f>
        <v>0</v>
      </c>
      <c r="Q155" s="28" t="n">
        <f aca="false">IF($A155="","",IF(N(O155)=0,"",$A155+VLOOKUP(N155,Schichten!$A$5:$G$24,3,FALSE())))</f>
        <v>46538.25</v>
      </c>
      <c r="R155" s="28" t="n">
        <f aca="false">IF(Q155="","",$A155+VLOOKUP(N155,Schichten!$A$5:$G$24,4,FALSE())+IF(VLOOKUP(N155,Schichten!$A$5:$G$24,4,FALSE())&lt;=VLOOKUP(N155,Schichten!$A$5:$G$24,3,FALSE()),1,0))</f>
        <v>46538.5833333333</v>
      </c>
      <c r="S155" s="28" t="n">
        <f aca="false">IF($A155="","",IF(N(O154)&gt;0,R154,S154))</f>
        <v>46537.5833333333</v>
      </c>
      <c r="T155" s="27" t="n">
        <f aca="false">IF(OR(Q155="",S155=""),"",(Q155-S155)*24)</f>
        <v>16</v>
      </c>
      <c r="U155" s="21" t="n">
        <f aca="false">IF($A155="","",IF(N(O155)&gt;0,N(U154)+1,0))</f>
        <v>2</v>
      </c>
      <c r="V155" s="21" t="n">
        <f aca="false">IF($A155="","",IF(N(P155)&gt;0,N(V154)+1,0))</f>
        <v>0</v>
      </c>
      <c r="W155" s="21" t="str">
        <f aca="false">IF($A155="","",IF(WEEKDAY($A155,2)&lt;&gt;7,"",IF(AND(OR(Q155="",N(Q155)&gt;=$A155+16/24,N(R155)&lt;=$A155+6/24),OR(S155="",N(S155)&lt;=$A155+6/24)),1,0)))</f>
        <v/>
      </c>
      <c r="X155" s="26" t="str">
        <f aca="false">IF($A155="","",IF(INDEX(Muster!$C$8:$BF$8,1,MOD($A155-Einstellungen!$C$6,Einstellungen!$C$7)+1)="","-",INDEX(Muster!$C$8:$BF$8,1,MOD($A155-Einstellungen!$C$6,Einstellungen!$C$7)+1)))</f>
        <v>-</v>
      </c>
      <c r="Y155" s="27" t="n">
        <f aca="false">IF($A155="","",IFERROR(VLOOKUP(X155,Schichten!$A$5:$G$24,6,FALSE()),0))</f>
        <v>0</v>
      </c>
      <c r="Z155" s="27" t="n">
        <f aca="false">IF($A155="","",IFERROR(VLOOKUP(X155,Schichten!$A$5:$G$24,7,FALSE()),0))</f>
        <v>0</v>
      </c>
      <c r="AA155" s="28" t="str">
        <f aca="false">IF($A155="","",IF(N(Y155)=0,"",$A155+VLOOKUP(X155,Schichten!$A$5:$G$24,3,FALSE())))</f>
        <v/>
      </c>
      <c r="AB155" s="28" t="str">
        <f aca="false">IF(AA155="","",$A155+VLOOKUP(X155,Schichten!$A$5:$G$24,4,FALSE())+IF(VLOOKUP(X155,Schichten!$A$5:$G$24,4,FALSE())&lt;=VLOOKUP(X155,Schichten!$A$5:$G$24,3,FALSE()),1,0))</f>
        <v/>
      </c>
      <c r="AC155" s="28" t="n">
        <f aca="false">IF($A155="","",IF(N(Y154)&gt;0,AB154,AC154))</f>
        <v>46537.25</v>
      </c>
      <c r="AD155" s="27" t="str">
        <f aca="false">IF(OR(AA155="",AC155=""),"",(AA155-AC155)*24)</f>
        <v/>
      </c>
      <c r="AE155" s="21" t="n">
        <f aca="false">IF($A155="","",IF(N(Y155)&gt;0,N(AE154)+1,0))</f>
        <v>0</v>
      </c>
      <c r="AF155" s="21" t="n">
        <f aca="false">IF($A155="","",IF(N(Z155)&gt;0,N(AF154)+1,0))</f>
        <v>0</v>
      </c>
      <c r="AG155" s="21" t="str">
        <f aca="false">IF($A155="","",IF(WEEKDAY($A155,2)&lt;&gt;7,"",IF(AND(OR(AA155="",N(AA155)&gt;=$A155+16/24,N(AB155)&lt;=$A155+6/24),OR(AC155="",N(AC155)&lt;=$A155+6/24)),1,0)))</f>
        <v/>
      </c>
      <c r="AH155" s="26" t="str">
        <f aca="false">IF($A155="","",IF(INDEX(Muster!$C$9:$BF$9,1,MOD($A155-Einstellungen!$C$6,Einstellungen!$C$7)+1)="","-",INDEX(Muster!$C$9:$BF$9,1,MOD($A155-Einstellungen!$C$6,Einstellungen!$C$7)+1)))</f>
        <v>N</v>
      </c>
      <c r="AI155" s="27" t="n">
        <f aca="false">IF($A155="","",IFERROR(VLOOKUP(AH155,Schichten!$A$5:$G$24,6,FALSE()),0))</f>
        <v>8</v>
      </c>
      <c r="AJ155" s="27" t="n">
        <f aca="false">IF($A155="","",IFERROR(VLOOKUP(AH155,Schichten!$A$5:$G$24,7,FALSE()),0))</f>
        <v>7</v>
      </c>
      <c r="AK155" s="28" t="n">
        <f aca="false">IF($A155="","",IF(N(AI155)=0,"",$A155+VLOOKUP(AH155,Schichten!$A$5:$G$24,3,FALSE())))</f>
        <v>46538.9166666667</v>
      </c>
      <c r="AL155" s="28" t="n">
        <f aca="false">IF(AK155="","",$A155+VLOOKUP(AH155,Schichten!$A$5:$G$24,4,FALSE())+IF(VLOOKUP(AH155,Schichten!$A$5:$G$24,4,FALSE())&lt;=VLOOKUP(AH155,Schichten!$A$5:$G$24,3,FALSE()),1,0))</f>
        <v>46539.25</v>
      </c>
      <c r="AM155" s="28" t="n">
        <f aca="false">IF($A155="","",IF(N(AI154)&gt;0,AL154,AM154))</f>
        <v>46538.25</v>
      </c>
      <c r="AN155" s="27" t="n">
        <f aca="false">IF(OR(AK155="",AM155=""),"",(AK155-AM155)*24)</f>
        <v>16</v>
      </c>
      <c r="AO155" s="21" t="n">
        <f aca="false">IF($A155="","",IF(N(AI155)&gt;0,N(AO154)+1,0))</f>
        <v>6</v>
      </c>
      <c r="AP155" s="21" t="n">
        <f aca="false">IF($A155="","",IF(N(AJ155)&gt;0,N(AP154)+1,0))</f>
        <v>2</v>
      </c>
      <c r="AQ155" s="21" t="str">
        <f aca="false">IF($A155="","",IF(WEEKDAY($A155,2)&lt;&gt;7,"",IF(AND(OR(AK155="",N(AK155)&gt;=$A155+16/24,N(AL155)&lt;=$A155+6/24),OR(AM155="",N(AM155)&lt;=$A155+6/24)),1,0)))</f>
        <v/>
      </c>
      <c r="AR155" s="26" t="str">
        <f aca="false">IF($A155="","",IF(INDEX(Muster!$C$10:$BF$10,1,MOD($A155-Einstellungen!$C$6,Einstellungen!$C$7)+1)="","-",INDEX(Muster!$C$10:$BF$10,1,MOD($A155-Einstellungen!$C$6,Einstellungen!$C$7)+1)))</f>
        <v>-</v>
      </c>
      <c r="AS155" s="27" t="n">
        <f aca="false">IF($A155="","",IFERROR(VLOOKUP(AR155,Schichten!$A$5:$G$24,6,FALSE()),0))</f>
        <v>0</v>
      </c>
      <c r="AT155" s="27" t="n">
        <f aca="false">IF($A155="","",IFERROR(VLOOKUP(AR155,Schichten!$A$5:$G$24,7,FALSE()),0))</f>
        <v>0</v>
      </c>
      <c r="AU155" s="28" t="str">
        <f aca="false">IF($A155="","",IF(N(AS155)=0,"",$A155+VLOOKUP(AR155,Schichten!$A$5:$G$24,3,FALSE())))</f>
        <v/>
      </c>
      <c r="AV155" s="28" t="str">
        <f aca="false">IF(AU155="","",$A155+VLOOKUP(AR155,Schichten!$A$5:$G$24,4,FALSE())+IF(VLOOKUP(AR155,Schichten!$A$5:$G$24,4,FALSE())&lt;=VLOOKUP(AR155,Schichten!$A$5:$G$24,3,FALSE()),1,0))</f>
        <v/>
      </c>
      <c r="AW155" s="28" t="str">
        <f aca="false">IF($A155="","",IF(N(AS154)&gt;0,AV154,AW154))</f>
        <v/>
      </c>
      <c r="AX155" s="27" t="str">
        <f aca="false">IF(OR(AU155="",AW155=""),"",(AU155-AW155)*24)</f>
        <v/>
      </c>
      <c r="AY155" s="21" t="n">
        <f aca="false">IF($A155="","",IF(N(AS155)&gt;0,N(AY154)+1,0))</f>
        <v>0</v>
      </c>
      <c r="AZ155" s="21" t="n">
        <f aca="false">IF($A155="","",IF(N(AT155)&gt;0,N(AZ154)+1,0))</f>
        <v>0</v>
      </c>
      <c r="BA155" s="21" t="str">
        <f aca="false">IF($A155="","",IF(WEEKDAY($A155,2)&lt;&gt;7,"",IF(AND(OR(AU155="",N(AU155)&gt;=$A155+16/24,N(AV155)&lt;=$A155+6/24),OR(AW155="",N(AW155)&lt;=$A155+6/24)),1,0)))</f>
        <v/>
      </c>
    </row>
    <row r="156" customFormat="false" ht="15" hidden="false" customHeight="false" outlineLevel="0" collapsed="false">
      <c r="A156" s="25" t="n">
        <f aca="false">IF(YEAR(DATE(Einstellungen!$C$4,1,1)+151)=Einstellungen!$C$4,DATE(Einstellungen!$C$4,1,1)+151,"")</f>
        <v>46539</v>
      </c>
      <c r="B156" s="26" t="str">
        <f aca="false">IF($A156="","",CHOOSE(WEEKDAY($A156,2),"Mo","Di","Mi","Do","Fr","Sa","So"))</f>
        <v>Di</v>
      </c>
      <c r="C156" s="26" t="n">
        <f aca="false">IF($A156="","",MONTH($A156))</f>
        <v>6</v>
      </c>
      <c r="D156" s="26" t="str">
        <f aca="false">IF($A156="","",IF(INDEX(Muster!$C$6:$BF$6,1,MOD($A156-Einstellungen!$C$6,Einstellungen!$C$7)+1)="","-",INDEX(Muster!$C$6:$BF$6,1,MOD($A156-Einstellungen!$C$6,Einstellungen!$C$7)+1)))</f>
        <v>N</v>
      </c>
      <c r="E156" s="27" t="n">
        <f aca="false">IF($A156="","",IFERROR(VLOOKUP(D156,Schichten!$A$5:$G$24,6,FALSE()),0))</f>
        <v>8</v>
      </c>
      <c r="F156" s="27" t="n">
        <f aca="false">IF($A156="","",IFERROR(VLOOKUP(D156,Schichten!$A$5:$G$24,7,FALSE()),0))</f>
        <v>7</v>
      </c>
      <c r="G156" s="28" t="n">
        <f aca="false">IF($A156="","",IF(N(E156)=0,"",$A156+VLOOKUP(D156,Schichten!$A$5:$G$24,3,FALSE())))</f>
        <v>46539.9166666667</v>
      </c>
      <c r="H156" s="28" t="n">
        <f aca="false">IF(G156="","",$A156+VLOOKUP(D156,Schichten!$A$5:$G$24,4,FALSE())+IF(VLOOKUP(D156,Schichten!$A$5:$G$24,4,FALSE())&lt;=VLOOKUP(D156,Schichten!$A$5:$G$24,3,FALSE()),1,0))</f>
        <v>46540.25</v>
      </c>
      <c r="I156" s="28" t="n">
        <f aca="false">IF($A156="","",IF(N(E155)&gt;0,H155,I155))</f>
        <v>46538.9166666667</v>
      </c>
      <c r="J156" s="27" t="n">
        <f aca="false">IF(OR(G156="",I156=""),"",(G156-I156)*24)</f>
        <v>24</v>
      </c>
      <c r="K156" s="21" t="n">
        <f aca="false">IF($A156="","",IF(N(E156)&gt;0,N(K155)+1,0))</f>
        <v>5</v>
      </c>
      <c r="L156" s="21" t="n">
        <f aca="false">IF($A156="","",IF(N(F156)&gt;0,N(L155)+1,0))</f>
        <v>1</v>
      </c>
      <c r="M156" s="21" t="str">
        <f aca="false">IF($A156="","",IF(WEEKDAY($A156,2)&lt;&gt;7,"",IF(AND(OR(G156="",N(G156)&gt;=$A156+16/24,N(H156)&lt;=$A156+6/24),OR(I156="",N(I156)&lt;=$A156+6/24)),1,0)))</f>
        <v/>
      </c>
      <c r="N156" s="26" t="str">
        <f aca="false">IF($A156="","",IF(INDEX(Muster!$C$7:$BF$7,1,MOD($A156-Einstellungen!$C$6,Einstellungen!$C$7)+1)="","-",INDEX(Muster!$C$7:$BF$7,1,MOD($A156-Einstellungen!$C$6,Einstellungen!$C$7)+1)))</f>
        <v>S</v>
      </c>
      <c r="O156" s="27" t="n">
        <f aca="false">IF($A156="","",IFERROR(VLOOKUP(N156,Schichten!$A$5:$G$24,6,FALSE()),0))</f>
        <v>8</v>
      </c>
      <c r="P156" s="27" t="n">
        <f aca="false">IF($A156="","",IFERROR(VLOOKUP(N156,Schichten!$A$5:$G$24,7,FALSE()),0))</f>
        <v>0</v>
      </c>
      <c r="Q156" s="28" t="n">
        <f aca="false">IF($A156="","",IF(N(O156)=0,"",$A156+VLOOKUP(N156,Schichten!$A$5:$G$24,3,FALSE())))</f>
        <v>46539.5833333333</v>
      </c>
      <c r="R156" s="28" t="n">
        <f aca="false">IF(Q156="","",$A156+VLOOKUP(N156,Schichten!$A$5:$G$24,4,FALSE())+IF(VLOOKUP(N156,Schichten!$A$5:$G$24,4,FALSE())&lt;=VLOOKUP(N156,Schichten!$A$5:$G$24,3,FALSE()),1,0))</f>
        <v>46539.9166666667</v>
      </c>
      <c r="S156" s="28" t="n">
        <f aca="false">IF($A156="","",IF(N(O155)&gt;0,R155,S155))</f>
        <v>46538.5833333333</v>
      </c>
      <c r="T156" s="27" t="n">
        <f aca="false">IF(OR(Q156="",S156=""),"",(Q156-S156)*24)</f>
        <v>24</v>
      </c>
      <c r="U156" s="21" t="n">
        <f aca="false">IF($A156="","",IF(N(O156)&gt;0,N(U155)+1,0))</f>
        <v>3</v>
      </c>
      <c r="V156" s="21" t="n">
        <f aca="false">IF($A156="","",IF(N(P156)&gt;0,N(V155)+1,0))</f>
        <v>0</v>
      </c>
      <c r="W156" s="21" t="str">
        <f aca="false">IF($A156="","",IF(WEEKDAY($A156,2)&lt;&gt;7,"",IF(AND(OR(Q156="",N(Q156)&gt;=$A156+16/24,N(R156)&lt;=$A156+6/24),OR(S156="",N(S156)&lt;=$A156+6/24)),1,0)))</f>
        <v/>
      </c>
      <c r="X156" s="26" t="str">
        <f aca="false">IF($A156="","",IF(INDEX(Muster!$C$8:$BF$8,1,MOD($A156-Einstellungen!$C$6,Einstellungen!$C$7)+1)="","-",INDEX(Muster!$C$8:$BF$8,1,MOD($A156-Einstellungen!$C$6,Einstellungen!$C$7)+1)))</f>
        <v>F</v>
      </c>
      <c r="Y156" s="27" t="n">
        <f aca="false">IF($A156="","",IFERROR(VLOOKUP(X156,Schichten!$A$5:$G$24,6,FALSE()),0))</f>
        <v>8</v>
      </c>
      <c r="Z156" s="27" t="n">
        <f aca="false">IF($A156="","",IFERROR(VLOOKUP(X156,Schichten!$A$5:$G$24,7,FALSE()),0))</f>
        <v>0</v>
      </c>
      <c r="AA156" s="28" t="n">
        <f aca="false">IF($A156="","",IF(N(Y156)=0,"",$A156+VLOOKUP(X156,Schichten!$A$5:$G$24,3,FALSE())))</f>
        <v>46539.25</v>
      </c>
      <c r="AB156" s="28" t="n">
        <f aca="false">IF(AA156="","",$A156+VLOOKUP(X156,Schichten!$A$5:$G$24,4,FALSE())+IF(VLOOKUP(X156,Schichten!$A$5:$G$24,4,FALSE())&lt;=VLOOKUP(X156,Schichten!$A$5:$G$24,3,FALSE()),1,0))</f>
        <v>46539.5833333333</v>
      </c>
      <c r="AC156" s="28" t="n">
        <f aca="false">IF($A156="","",IF(N(Y155)&gt;0,AB155,AC155))</f>
        <v>46537.25</v>
      </c>
      <c r="AD156" s="27" t="n">
        <f aca="false">IF(OR(AA156="",AC156=""),"",(AA156-AC156)*24)</f>
        <v>48</v>
      </c>
      <c r="AE156" s="21" t="n">
        <f aca="false">IF($A156="","",IF(N(Y156)&gt;0,N(AE155)+1,0))</f>
        <v>1</v>
      </c>
      <c r="AF156" s="21" t="n">
        <f aca="false">IF($A156="","",IF(N(Z156)&gt;0,N(AF155)+1,0))</f>
        <v>0</v>
      </c>
      <c r="AG156" s="21" t="str">
        <f aca="false">IF($A156="","",IF(WEEKDAY($A156,2)&lt;&gt;7,"",IF(AND(OR(AA156="",N(AA156)&gt;=$A156+16/24,N(AB156)&lt;=$A156+6/24),OR(AC156="",N(AC156)&lt;=$A156+6/24)),1,0)))</f>
        <v/>
      </c>
      <c r="AH156" s="26" t="str">
        <f aca="false">IF($A156="","",IF(INDEX(Muster!$C$9:$BF$9,1,MOD($A156-Einstellungen!$C$6,Einstellungen!$C$7)+1)="","-",INDEX(Muster!$C$9:$BF$9,1,MOD($A156-Einstellungen!$C$6,Einstellungen!$C$7)+1)))</f>
        <v>-</v>
      </c>
      <c r="AI156" s="27" t="n">
        <f aca="false">IF($A156="","",IFERROR(VLOOKUP(AH156,Schichten!$A$5:$G$24,6,FALSE()),0))</f>
        <v>0</v>
      </c>
      <c r="AJ156" s="27" t="n">
        <f aca="false">IF($A156="","",IFERROR(VLOOKUP(AH156,Schichten!$A$5:$G$24,7,FALSE()),0))</f>
        <v>0</v>
      </c>
      <c r="AK156" s="28" t="str">
        <f aca="false">IF($A156="","",IF(N(AI156)=0,"",$A156+VLOOKUP(AH156,Schichten!$A$5:$G$24,3,FALSE())))</f>
        <v/>
      </c>
      <c r="AL156" s="28" t="str">
        <f aca="false">IF(AK156="","",$A156+VLOOKUP(AH156,Schichten!$A$5:$G$24,4,FALSE())+IF(VLOOKUP(AH156,Schichten!$A$5:$G$24,4,FALSE())&lt;=VLOOKUP(AH156,Schichten!$A$5:$G$24,3,FALSE()),1,0))</f>
        <v/>
      </c>
      <c r="AM156" s="28" t="n">
        <f aca="false">IF($A156="","",IF(N(AI155)&gt;0,AL155,AM155))</f>
        <v>46539.25</v>
      </c>
      <c r="AN156" s="27" t="str">
        <f aca="false">IF(OR(AK156="",AM156=""),"",(AK156-AM156)*24)</f>
        <v/>
      </c>
      <c r="AO156" s="21" t="n">
        <f aca="false">IF($A156="","",IF(N(AI156)&gt;0,N(AO155)+1,0))</f>
        <v>0</v>
      </c>
      <c r="AP156" s="21" t="n">
        <f aca="false">IF($A156="","",IF(N(AJ156)&gt;0,N(AP155)+1,0))</f>
        <v>0</v>
      </c>
      <c r="AQ156" s="21" t="str">
        <f aca="false">IF($A156="","",IF(WEEKDAY($A156,2)&lt;&gt;7,"",IF(AND(OR(AK156="",N(AK156)&gt;=$A156+16/24,N(AL156)&lt;=$A156+6/24),OR(AM156="",N(AM156)&lt;=$A156+6/24)),1,0)))</f>
        <v/>
      </c>
      <c r="AR156" s="26" t="str">
        <f aca="false">IF($A156="","",IF(INDEX(Muster!$C$10:$BF$10,1,MOD($A156-Einstellungen!$C$6,Einstellungen!$C$7)+1)="","-",INDEX(Muster!$C$10:$BF$10,1,MOD($A156-Einstellungen!$C$6,Einstellungen!$C$7)+1)))</f>
        <v>-</v>
      </c>
      <c r="AS156" s="27" t="n">
        <f aca="false">IF($A156="","",IFERROR(VLOOKUP(AR156,Schichten!$A$5:$G$24,6,FALSE()),0))</f>
        <v>0</v>
      </c>
      <c r="AT156" s="27" t="n">
        <f aca="false">IF($A156="","",IFERROR(VLOOKUP(AR156,Schichten!$A$5:$G$24,7,FALSE()),0))</f>
        <v>0</v>
      </c>
      <c r="AU156" s="28" t="str">
        <f aca="false">IF($A156="","",IF(N(AS156)=0,"",$A156+VLOOKUP(AR156,Schichten!$A$5:$G$24,3,FALSE())))</f>
        <v/>
      </c>
      <c r="AV156" s="28" t="str">
        <f aca="false">IF(AU156="","",$A156+VLOOKUP(AR156,Schichten!$A$5:$G$24,4,FALSE())+IF(VLOOKUP(AR156,Schichten!$A$5:$G$24,4,FALSE())&lt;=VLOOKUP(AR156,Schichten!$A$5:$G$24,3,FALSE()),1,0))</f>
        <v/>
      </c>
      <c r="AW156" s="28" t="str">
        <f aca="false">IF($A156="","",IF(N(AS155)&gt;0,AV155,AW155))</f>
        <v/>
      </c>
      <c r="AX156" s="27" t="str">
        <f aca="false">IF(OR(AU156="",AW156=""),"",(AU156-AW156)*24)</f>
        <v/>
      </c>
      <c r="AY156" s="21" t="n">
        <f aca="false">IF($A156="","",IF(N(AS156)&gt;0,N(AY155)+1,0))</f>
        <v>0</v>
      </c>
      <c r="AZ156" s="21" t="n">
        <f aca="false">IF($A156="","",IF(N(AT156)&gt;0,N(AZ155)+1,0))</f>
        <v>0</v>
      </c>
      <c r="BA156" s="21" t="str">
        <f aca="false">IF($A156="","",IF(WEEKDAY($A156,2)&lt;&gt;7,"",IF(AND(OR(AU156="",N(AU156)&gt;=$A156+16/24,N(AV156)&lt;=$A156+6/24),OR(AW156="",N(AW156)&lt;=$A156+6/24)),1,0)))</f>
        <v/>
      </c>
    </row>
    <row r="157" customFormat="false" ht="15" hidden="false" customHeight="false" outlineLevel="0" collapsed="false">
      <c r="A157" s="25" t="n">
        <f aca="false">IF(YEAR(DATE(Einstellungen!$C$4,1,1)+152)=Einstellungen!$C$4,DATE(Einstellungen!$C$4,1,1)+152,"")</f>
        <v>46540</v>
      </c>
      <c r="B157" s="26" t="str">
        <f aca="false">IF($A157="","",CHOOSE(WEEKDAY($A157,2),"Mo","Di","Mi","Do","Fr","Sa","So"))</f>
        <v>Mi</v>
      </c>
      <c r="C157" s="26" t="n">
        <f aca="false">IF($A157="","",MONTH($A157))</f>
        <v>6</v>
      </c>
      <c r="D157" s="26" t="str">
        <f aca="false">IF($A157="","",IF(INDEX(Muster!$C$6:$BF$6,1,MOD($A157-Einstellungen!$C$6,Einstellungen!$C$7)+1)="","-",INDEX(Muster!$C$6:$BF$6,1,MOD($A157-Einstellungen!$C$6,Einstellungen!$C$7)+1)))</f>
        <v>N</v>
      </c>
      <c r="E157" s="27" t="n">
        <f aca="false">IF($A157="","",IFERROR(VLOOKUP(D157,Schichten!$A$5:$G$24,6,FALSE()),0))</f>
        <v>8</v>
      </c>
      <c r="F157" s="27" t="n">
        <f aca="false">IF($A157="","",IFERROR(VLOOKUP(D157,Schichten!$A$5:$G$24,7,FALSE()),0))</f>
        <v>7</v>
      </c>
      <c r="G157" s="28" t="n">
        <f aca="false">IF($A157="","",IF(N(E157)=0,"",$A157+VLOOKUP(D157,Schichten!$A$5:$G$24,3,FALSE())))</f>
        <v>46540.9166666667</v>
      </c>
      <c r="H157" s="28" t="n">
        <f aca="false">IF(G157="","",$A157+VLOOKUP(D157,Schichten!$A$5:$G$24,4,FALSE())+IF(VLOOKUP(D157,Schichten!$A$5:$G$24,4,FALSE())&lt;=VLOOKUP(D157,Schichten!$A$5:$G$24,3,FALSE()),1,0))</f>
        <v>46541.25</v>
      </c>
      <c r="I157" s="28" t="n">
        <f aca="false">IF($A157="","",IF(N(E156)&gt;0,H156,I156))</f>
        <v>46540.25</v>
      </c>
      <c r="J157" s="27" t="n">
        <f aca="false">IF(OR(G157="",I157=""),"",(G157-I157)*24)</f>
        <v>16</v>
      </c>
      <c r="K157" s="21" t="n">
        <f aca="false">IF($A157="","",IF(N(E157)&gt;0,N(K156)+1,0))</f>
        <v>6</v>
      </c>
      <c r="L157" s="21" t="n">
        <f aca="false">IF($A157="","",IF(N(F157)&gt;0,N(L156)+1,0))</f>
        <v>2</v>
      </c>
      <c r="M157" s="21" t="str">
        <f aca="false">IF($A157="","",IF(WEEKDAY($A157,2)&lt;&gt;7,"",IF(AND(OR(G157="",N(G157)&gt;=$A157+16/24,N(H157)&lt;=$A157+6/24),OR(I157="",N(I157)&lt;=$A157+6/24)),1,0)))</f>
        <v/>
      </c>
      <c r="N157" s="26" t="str">
        <f aca="false">IF($A157="","",IF(INDEX(Muster!$C$7:$BF$7,1,MOD($A157-Einstellungen!$C$6,Einstellungen!$C$7)+1)="","-",INDEX(Muster!$C$7:$BF$7,1,MOD($A157-Einstellungen!$C$6,Einstellungen!$C$7)+1)))</f>
        <v>S</v>
      </c>
      <c r="O157" s="27" t="n">
        <f aca="false">IF($A157="","",IFERROR(VLOOKUP(N157,Schichten!$A$5:$G$24,6,FALSE()),0))</f>
        <v>8</v>
      </c>
      <c r="P157" s="27" t="n">
        <f aca="false">IF($A157="","",IFERROR(VLOOKUP(N157,Schichten!$A$5:$G$24,7,FALSE()),0))</f>
        <v>0</v>
      </c>
      <c r="Q157" s="28" t="n">
        <f aca="false">IF($A157="","",IF(N(O157)=0,"",$A157+VLOOKUP(N157,Schichten!$A$5:$G$24,3,FALSE())))</f>
        <v>46540.5833333333</v>
      </c>
      <c r="R157" s="28" t="n">
        <f aca="false">IF(Q157="","",$A157+VLOOKUP(N157,Schichten!$A$5:$G$24,4,FALSE())+IF(VLOOKUP(N157,Schichten!$A$5:$G$24,4,FALSE())&lt;=VLOOKUP(N157,Schichten!$A$5:$G$24,3,FALSE()),1,0))</f>
        <v>46540.9166666667</v>
      </c>
      <c r="S157" s="28" t="n">
        <f aca="false">IF($A157="","",IF(N(O156)&gt;0,R156,S156))</f>
        <v>46539.9166666667</v>
      </c>
      <c r="T157" s="27" t="n">
        <f aca="false">IF(OR(Q157="",S157=""),"",(Q157-S157)*24)</f>
        <v>16</v>
      </c>
      <c r="U157" s="21" t="n">
        <f aca="false">IF($A157="","",IF(N(O157)&gt;0,N(U156)+1,0))</f>
        <v>4</v>
      </c>
      <c r="V157" s="21" t="n">
        <f aca="false">IF($A157="","",IF(N(P157)&gt;0,N(V156)+1,0))</f>
        <v>0</v>
      </c>
      <c r="W157" s="21" t="str">
        <f aca="false">IF($A157="","",IF(WEEKDAY($A157,2)&lt;&gt;7,"",IF(AND(OR(Q157="",N(Q157)&gt;=$A157+16/24,N(R157)&lt;=$A157+6/24),OR(S157="",N(S157)&lt;=$A157+6/24)),1,0)))</f>
        <v/>
      </c>
      <c r="X157" s="26" t="str">
        <f aca="false">IF($A157="","",IF(INDEX(Muster!$C$8:$BF$8,1,MOD($A157-Einstellungen!$C$6,Einstellungen!$C$7)+1)="","-",INDEX(Muster!$C$8:$BF$8,1,MOD($A157-Einstellungen!$C$6,Einstellungen!$C$7)+1)))</f>
        <v>F</v>
      </c>
      <c r="Y157" s="27" t="n">
        <f aca="false">IF($A157="","",IFERROR(VLOOKUP(X157,Schichten!$A$5:$G$24,6,FALSE()),0))</f>
        <v>8</v>
      </c>
      <c r="Z157" s="27" t="n">
        <f aca="false">IF($A157="","",IFERROR(VLOOKUP(X157,Schichten!$A$5:$G$24,7,FALSE()),0))</f>
        <v>0</v>
      </c>
      <c r="AA157" s="28" t="n">
        <f aca="false">IF($A157="","",IF(N(Y157)=0,"",$A157+VLOOKUP(X157,Schichten!$A$5:$G$24,3,FALSE())))</f>
        <v>46540.25</v>
      </c>
      <c r="AB157" s="28" t="n">
        <f aca="false">IF(AA157="","",$A157+VLOOKUP(X157,Schichten!$A$5:$G$24,4,FALSE())+IF(VLOOKUP(X157,Schichten!$A$5:$G$24,4,FALSE())&lt;=VLOOKUP(X157,Schichten!$A$5:$G$24,3,FALSE()),1,0))</f>
        <v>46540.5833333333</v>
      </c>
      <c r="AC157" s="28" t="n">
        <f aca="false">IF($A157="","",IF(N(Y156)&gt;0,AB156,AC156))</f>
        <v>46539.5833333333</v>
      </c>
      <c r="AD157" s="27" t="n">
        <f aca="false">IF(OR(AA157="",AC157=""),"",(AA157-AC157)*24)</f>
        <v>16</v>
      </c>
      <c r="AE157" s="21" t="n">
        <f aca="false">IF($A157="","",IF(N(Y157)&gt;0,N(AE156)+1,0))</f>
        <v>2</v>
      </c>
      <c r="AF157" s="21" t="n">
        <f aca="false">IF($A157="","",IF(N(Z157)&gt;0,N(AF156)+1,0))</f>
        <v>0</v>
      </c>
      <c r="AG157" s="21" t="str">
        <f aca="false">IF($A157="","",IF(WEEKDAY($A157,2)&lt;&gt;7,"",IF(AND(OR(AA157="",N(AA157)&gt;=$A157+16/24,N(AB157)&lt;=$A157+6/24),OR(AC157="",N(AC157)&lt;=$A157+6/24)),1,0)))</f>
        <v/>
      </c>
      <c r="AH157" s="26" t="str">
        <f aca="false">IF($A157="","",IF(INDEX(Muster!$C$9:$BF$9,1,MOD($A157-Einstellungen!$C$6,Einstellungen!$C$7)+1)="","-",INDEX(Muster!$C$9:$BF$9,1,MOD($A157-Einstellungen!$C$6,Einstellungen!$C$7)+1)))</f>
        <v>-</v>
      </c>
      <c r="AI157" s="27" t="n">
        <f aca="false">IF($A157="","",IFERROR(VLOOKUP(AH157,Schichten!$A$5:$G$24,6,FALSE()),0))</f>
        <v>0</v>
      </c>
      <c r="AJ157" s="27" t="n">
        <f aca="false">IF($A157="","",IFERROR(VLOOKUP(AH157,Schichten!$A$5:$G$24,7,FALSE()),0))</f>
        <v>0</v>
      </c>
      <c r="AK157" s="28" t="str">
        <f aca="false">IF($A157="","",IF(N(AI157)=0,"",$A157+VLOOKUP(AH157,Schichten!$A$5:$G$24,3,FALSE())))</f>
        <v/>
      </c>
      <c r="AL157" s="28" t="str">
        <f aca="false">IF(AK157="","",$A157+VLOOKUP(AH157,Schichten!$A$5:$G$24,4,FALSE())+IF(VLOOKUP(AH157,Schichten!$A$5:$G$24,4,FALSE())&lt;=VLOOKUP(AH157,Schichten!$A$5:$G$24,3,FALSE()),1,0))</f>
        <v/>
      </c>
      <c r="AM157" s="28" t="n">
        <f aca="false">IF($A157="","",IF(N(AI156)&gt;0,AL156,AM156))</f>
        <v>46539.25</v>
      </c>
      <c r="AN157" s="27" t="str">
        <f aca="false">IF(OR(AK157="",AM157=""),"",(AK157-AM157)*24)</f>
        <v/>
      </c>
      <c r="AO157" s="21" t="n">
        <f aca="false">IF($A157="","",IF(N(AI157)&gt;0,N(AO156)+1,0))</f>
        <v>0</v>
      </c>
      <c r="AP157" s="21" t="n">
        <f aca="false">IF($A157="","",IF(N(AJ157)&gt;0,N(AP156)+1,0))</f>
        <v>0</v>
      </c>
      <c r="AQ157" s="21" t="str">
        <f aca="false">IF($A157="","",IF(WEEKDAY($A157,2)&lt;&gt;7,"",IF(AND(OR(AK157="",N(AK157)&gt;=$A157+16/24,N(AL157)&lt;=$A157+6/24),OR(AM157="",N(AM157)&lt;=$A157+6/24)),1,0)))</f>
        <v/>
      </c>
      <c r="AR157" s="26" t="str">
        <f aca="false">IF($A157="","",IF(INDEX(Muster!$C$10:$BF$10,1,MOD($A157-Einstellungen!$C$6,Einstellungen!$C$7)+1)="","-",INDEX(Muster!$C$10:$BF$10,1,MOD($A157-Einstellungen!$C$6,Einstellungen!$C$7)+1)))</f>
        <v>-</v>
      </c>
      <c r="AS157" s="27" t="n">
        <f aca="false">IF($A157="","",IFERROR(VLOOKUP(AR157,Schichten!$A$5:$G$24,6,FALSE()),0))</f>
        <v>0</v>
      </c>
      <c r="AT157" s="27" t="n">
        <f aca="false">IF($A157="","",IFERROR(VLOOKUP(AR157,Schichten!$A$5:$G$24,7,FALSE()),0))</f>
        <v>0</v>
      </c>
      <c r="AU157" s="28" t="str">
        <f aca="false">IF($A157="","",IF(N(AS157)=0,"",$A157+VLOOKUP(AR157,Schichten!$A$5:$G$24,3,FALSE())))</f>
        <v/>
      </c>
      <c r="AV157" s="28" t="str">
        <f aca="false">IF(AU157="","",$A157+VLOOKUP(AR157,Schichten!$A$5:$G$24,4,FALSE())+IF(VLOOKUP(AR157,Schichten!$A$5:$G$24,4,FALSE())&lt;=VLOOKUP(AR157,Schichten!$A$5:$G$24,3,FALSE()),1,0))</f>
        <v/>
      </c>
      <c r="AW157" s="28" t="str">
        <f aca="false">IF($A157="","",IF(N(AS156)&gt;0,AV156,AW156))</f>
        <v/>
      </c>
      <c r="AX157" s="27" t="str">
        <f aca="false">IF(OR(AU157="",AW157=""),"",(AU157-AW157)*24)</f>
        <v/>
      </c>
      <c r="AY157" s="21" t="n">
        <f aca="false">IF($A157="","",IF(N(AS157)&gt;0,N(AY156)+1,0))</f>
        <v>0</v>
      </c>
      <c r="AZ157" s="21" t="n">
        <f aca="false">IF($A157="","",IF(N(AT157)&gt;0,N(AZ156)+1,0))</f>
        <v>0</v>
      </c>
      <c r="BA157" s="21" t="str">
        <f aca="false">IF($A157="","",IF(WEEKDAY($A157,2)&lt;&gt;7,"",IF(AND(OR(AU157="",N(AU157)&gt;=$A157+16/24,N(AV157)&lt;=$A157+6/24),OR(AW157="",N(AW157)&lt;=$A157+6/24)),1,0)))</f>
        <v/>
      </c>
    </row>
    <row r="158" customFormat="false" ht="15" hidden="false" customHeight="false" outlineLevel="0" collapsed="false">
      <c r="A158" s="25" t="n">
        <f aca="false">IF(YEAR(DATE(Einstellungen!$C$4,1,1)+153)=Einstellungen!$C$4,DATE(Einstellungen!$C$4,1,1)+153,"")</f>
        <v>46541</v>
      </c>
      <c r="B158" s="26" t="str">
        <f aca="false">IF($A158="","",CHOOSE(WEEKDAY($A158,2),"Mo","Di","Mi","Do","Fr","Sa","So"))</f>
        <v>Do</v>
      </c>
      <c r="C158" s="26" t="n">
        <f aca="false">IF($A158="","",MONTH($A158))</f>
        <v>6</v>
      </c>
      <c r="D158" s="26" t="str">
        <f aca="false">IF($A158="","",IF(INDEX(Muster!$C$6:$BF$6,1,MOD($A158-Einstellungen!$C$6,Einstellungen!$C$7)+1)="","-",INDEX(Muster!$C$6:$BF$6,1,MOD($A158-Einstellungen!$C$6,Einstellungen!$C$7)+1)))</f>
        <v>-</v>
      </c>
      <c r="E158" s="27" t="n">
        <f aca="false">IF($A158="","",IFERROR(VLOOKUP(D158,Schichten!$A$5:$G$24,6,FALSE()),0))</f>
        <v>0</v>
      </c>
      <c r="F158" s="27" t="n">
        <f aca="false">IF($A158="","",IFERROR(VLOOKUP(D158,Schichten!$A$5:$G$24,7,FALSE()),0))</f>
        <v>0</v>
      </c>
      <c r="G158" s="28" t="str">
        <f aca="false">IF($A158="","",IF(N(E158)=0,"",$A158+VLOOKUP(D158,Schichten!$A$5:$G$24,3,FALSE())))</f>
        <v/>
      </c>
      <c r="H158" s="28" t="str">
        <f aca="false">IF(G158="","",$A158+VLOOKUP(D158,Schichten!$A$5:$G$24,4,FALSE())+IF(VLOOKUP(D158,Schichten!$A$5:$G$24,4,FALSE())&lt;=VLOOKUP(D158,Schichten!$A$5:$G$24,3,FALSE()),1,0))</f>
        <v/>
      </c>
      <c r="I158" s="28" t="n">
        <f aca="false">IF($A158="","",IF(N(E157)&gt;0,H157,I157))</f>
        <v>46541.25</v>
      </c>
      <c r="J158" s="27" t="str">
        <f aca="false">IF(OR(G158="",I158=""),"",(G158-I158)*24)</f>
        <v/>
      </c>
      <c r="K158" s="21" t="n">
        <f aca="false">IF($A158="","",IF(N(E158)&gt;0,N(K157)+1,0))</f>
        <v>0</v>
      </c>
      <c r="L158" s="21" t="n">
        <f aca="false">IF($A158="","",IF(N(F158)&gt;0,N(L157)+1,0))</f>
        <v>0</v>
      </c>
      <c r="M158" s="21" t="str">
        <f aca="false">IF($A158="","",IF(WEEKDAY($A158,2)&lt;&gt;7,"",IF(AND(OR(G158="",N(G158)&gt;=$A158+16/24,N(H158)&lt;=$A158+6/24),OR(I158="",N(I158)&lt;=$A158+6/24)),1,0)))</f>
        <v/>
      </c>
      <c r="N158" s="26" t="str">
        <f aca="false">IF($A158="","",IF(INDEX(Muster!$C$7:$BF$7,1,MOD($A158-Einstellungen!$C$6,Einstellungen!$C$7)+1)="","-",INDEX(Muster!$C$7:$BF$7,1,MOD($A158-Einstellungen!$C$6,Einstellungen!$C$7)+1)))</f>
        <v>N</v>
      </c>
      <c r="O158" s="27" t="n">
        <f aca="false">IF($A158="","",IFERROR(VLOOKUP(N158,Schichten!$A$5:$G$24,6,FALSE()),0))</f>
        <v>8</v>
      </c>
      <c r="P158" s="27" t="n">
        <f aca="false">IF($A158="","",IFERROR(VLOOKUP(N158,Schichten!$A$5:$G$24,7,FALSE()),0))</f>
        <v>7</v>
      </c>
      <c r="Q158" s="28" t="n">
        <f aca="false">IF($A158="","",IF(N(O158)=0,"",$A158+VLOOKUP(N158,Schichten!$A$5:$G$24,3,FALSE())))</f>
        <v>46541.9166666667</v>
      </c>
      <c r="R158" s="28" t="n">
        <f aca="false">IF(Q158="","",$A158+VLOOKUP(N158,Schichten!$A$5:$G$24,4,FALSE())+IF(VLOOKUP(N158,Schichten!$A$5:$G$24,4,FALSE())&lt;=VLOOKUP(N158,Schichten!$A$5:$G$24,3,FALSE()),1,0))</f>
        <v>46542.25</v>
      </c>
      <c r="S158" s="28" t="n">
        <f aca="false">IF($A158="","",IF(N(O157)&gt;0,R157,S157))</f>
        <v>46540.9166666667</v>
      </c>
      <c r="T158" s="27" t="n">
        <f aca="false">IF(OR(Q158="",S158=""),"",(Q158-S158)*24)</f>
        <v>24</v>
      </c>
      <c r="U158" s="21" t="n">
        <f aca="false">IF($A158="","",IF(N(O158)&gt;0,N(U157)+1,0))</f>
        <v>5</v>
      </c>
      <c r="V158" s="21" t="n">
        <f aca="false">IF($A158="","",IF(N(P158)&gt;0,N(V157)+1,0))</f>
        <v>1</v>
      </c>
      <c r="W158" s="21" t="str">
        <f aca="false">IF($A158="","",IF(WEEKDAY($A158,2)&lt;&gt;7,"",IF(AND(OR(Q158="",N(Q158)&gt;=$A158+16/24,N(R158)&lt;=$A158+6/24),OR(S158="",N(S158)&lt;=$A158+6/24)),1,0)))</f>
        <v/>
      </c>
      <c r="X158" s="26" t="str">
        <f aca="false">IF($A158="","",IF(INDEX(Muster!$C$8:$BF$8,1,MOD($A158-Einstellungen!$C$6,Einstellungen!$C$7)+1)="","-",INDEX(Muster!$C$8:$BF$8,1,MOD($A158-Einstellungen!$C$6,Einstellungen!$C$7)+1)))</f>
        <v>S</v>
      </c>
      <c r="Y158" s="27" t="n">
        <f aca="false">IF($A158="","",IFERROR(VLOOKUP(X158,Schichten!$A$5:$G$24,6,FALSE()),0))</f>
        <v>8</v>
      </c>
      <c r="Z158" s="27" t="n">
        <f aca="false">IF($A158="","",IFERROR(VLOOKUP(X158,Schichten!$A$5:$G$24,7,FALSE()),0))</f>
        <v>0</v>
      </c>
      <c r="AA158" s="28" t="n">
        <f aca="false">IF($A158="","",IF(N(Y158)=0,"",$A158+VLOOKUP(X158,Schichten!$A$5:$G$24,3,FALSE())))</f>
        <v>46541.5833333333</v>
      </c>
      <c r="AB158" s="28" t="n">
        <f aca="false">IF(AA158="","",$A158+VLOOKUP(X158,Schichten!$A$5:$G$24,4,FALSE())+IF(VLOOKUP(X158,Schichten!$A$5:$G$24,4,FALSE())&lt;=VLOOKUP(X158,Schichten!$A$5:$G$24,3,FALSE()),1,0))</f>
        <v>46541.9166666667</v>
      </c>
      <c r="AC158" s="28" t="n">
        <f aca="false">IF($A158="","",IF(N(Y157)&gt;0,AB157,AC157))</f>
        <v>46540.5833333333</v>
      </c>
      <c r="AD158" s="27" t="n">
        <f aca="false">IF(OR(AA158="",AC158=""),"",(AA158-AC158)*24)</f>
        <v>24</v>
      </c>
      <c r="AE158" s="21" t="n">
        <f aca="false">IF($A158="","",IF(N(Y158)&gt;0,N(AE157)+1,0))</f>
        <v>3</v>
      </c>
      <c r="AF158" s="21" t="n">
        <f aca="false">IF($A158="","",IF(N(Z158)&gt;0,N(AF157)+1,0))</f>
        <v>0</v>
      </c>
      <c r="AG158" s="21" t="str">
        <f aca="false">IF($A158="","",IF(WEEKDAY($A158,2)&lt;&gt;7,"",IF(AND(OR(AA158="",N(AA158)&gt;=$A158+16/24,N(AB158)&lt;=$A158+6/24),OR(AC158="",N(AC158)&lt;=$A158+6/24)),1,0)))</f>
        <v/>
      </c>
      <c r="AH158" s="26" t="str">
        <f aca="false">IF($A158="","",IF(INDEX(Muster!$C$9:$BF$9,1,MOD($A158-Einstellungen!$C$6,Einstellungen!$C$7)+1)="","-",INDEX(Muster!$C$9:$BF$9,1,MOD($A158-Einstellungen!$C$6,Einstellungen!$C$7)+1)))</f>
        <v>F</v>
      </c>
      <c r="AI158" s="27" t="n">
        <f aca="false">IF($A158="","",IFERROR(VLOOKUP(AH158,Schichten!$A$5:$G$24,6,FALSE()),0))</f>
        <v>8</v>
      </c>
      <c r="AJ158" s="27" t="n">
        <f aca="false">IF($A158="","",IFERROR(VLOOKUP(AH158,Schichten!$A$5:$G$24,7,FALSE()),0))</f>
        <v>0</v>
      </c>
      <c r="AK158" s="28" t="n">
        <f aca="false">IF($A158="","",IF(N(AI158)=0,"",$A158+VLOOKUP(AH158,Schichten!$A$5:$G$24,3,FALSE())))</f>
        <v>46541.25</v>
      </c>
      <c r="AL158" s="28" t="n">
        <f aca="false">IF(AK158="","",$A158+VLOOKUP(AH158,Schichten!$A$5:$G$24,4,FALSE())+IF(VLOOKUP(AH158,Schichten!$A$5:$G$24,4,FALSE())&lt;=VLOOKUP(AH158,Schichten!$A$5:$G$24,3,FALSE()),1,0))</f>
        <v>46541.5833333333</v>
      </c>
      <c r="AM158" s="28" t="n">
        <f aca="false">IF($A158="","",IF(N(AI157)&gt;0,AL157,AM157))</f>
        <v>46539.25</v>
      </c>
      <c r="AN158" s="27" t="n">
        <f aca="false">IF(OR(AK158="",AM158=""),"",(AK158-AM158)*24)</f>
        <v>48</v>
      </c>
      <c r="AO158" s="21" t="n">
        <f aca="false">IF($A158="","",IF(N(AI158)&gt;0,N(AO157)+1,0))</f>
        <v>1</v>
      </c>
      <c r="AP158" s="21" t="n">
        <f aca="false">IF($A158="","",IF(N(AJ158)&gt;0,N(AP157)+1,0))</f>
        <v>0</v>
      </c>
      <c r="AQ158" s="21" t="str">
        <f aca="false">IF($A158="","",IF(WEEKDAY($A158,2)&lt;&gt;7,"",IF(AND(OR(AK158="",N(AK158)&gt;=$A158+16/24,N(AL158)&lt;=$A158+6/24),OR(AM158="",N(AM158)&lt;=$A158+6/24)),1,0)))</f>
        <v/>
      </c>
      <c r="AR158" s="26" t="str">
        <f aca="false">IF($A158="","",IF(INDEX(Muster!$C$10:$BF$10,1,MOD($A158-Einstellungen!$C$6,Einstellungen!$C$7)+1)="","-",INDEX(Muster!$C$10:$BF$10,1,MOD($A158-Einstellungen!$C$6,Einstellungen!$C$7)+1)))</f>
        <v>-</v>
      </c>
      <c r="AS158" s="27" t="n">
        <f aca="false">IF($A158="","",IFERROR(VLOOKUP(AR158,Schichten!$A$5:$G$24,6,FALSE()),0))</f>
        <v>0</v>
      </c>
      <c r="AT158" s="27" t="n">
        <f aca="false">IF($A158="","",IFERROR(VLOOKUP(AR158,Schichten!$A$5:$G$24,7,FALSE()),0))</f>
        <v>0</v>
      </c>
      <c r="AU158" s="28" t="str">
        <f aca="false">IF($A158="","",IF(N(AS158)=0,"",$A158+VLOOKUP(AR158,Schichten!$A$5:$G$24,3,FALSE())))</f>
        <v/>
      </c>
      <c r="AV158" s="28" t="str">
        <f aca="false">IF(AU158="","",$A158+VLOOKUP(AR158,Schichten!$A$5:$G$24,4,FALSE())+IF(VLOOKUP(AR158,Schichten!$A$5:$G$24,4,FALSE())&lt;=VLOOKUP(AR158,Schichten!$A$5:$G$24,3,FALSE()),1,0))</f>
        <v/>
      </c>
      <c r="AW158" s="28" t="str">
        <f aca="false">IF($A158="","",IF(N(AS157)&gt;0,AV157,AW157))</f>
        <v/>
      </c>
      <c r="AX158" s="27" t="str">
        <f aca="false">IF(OR(AU158="",AW158=""),"",(AU158-AW158)*24)</f>
        <v/>
      </c>
      <c r="AY158" s="21" t="n">
        <f aca="false">IF($A158="","",IF(N(AS158)&gt;0,N(AY157)+1,0))</f>
        <v>0</v>
      </c>
      <c r="AZ158" s="21" t="n">
        <f aca="false">IF($A158="","",IF(N(AT158)&gt;0,N(AZ157)+1,0))</f>
        <v>0</v>
      </c>
      <c r="BA158" s="21" t="str">
        <f aca="false">IF($A158="","",IF(WEEKDAY($A158,2)&lt;&gt;7,"",IF(AND(OR(AU158="",N(AU158)&gt;=$A158+16/24,N(AV158)&lt;=$A158+6/24),OR(AW158="",N(AW158)&lt;=$A158+6/24)),1,0)))</f>
        <v/>
      </c>
    </row>
    <row r="159" customFormat="false" ht="15" hidden="false" customHeight="false" outlineLevel="0" collapsed="false">
      <c r="A159" s="25" t="n">
        <f aca="false">IF(YEAR(DATE(Einstellungen!$C$4,1,1)+154)=Einstellungen!$C$4,DATE(Einstellungen!$C$4,1,1)+154,"")</f>
        <v>46542</v>
      </c>
      <c r="B159" s="26" t="str">
        <f aca="false">IF($A159="","",CHOOSE(WEEKDAY($A159,2),"Mo","Di","Mi","Do","Fr","Sa","So"))</f>
        <v>Fr</v>
      </c>
      <c r="C159" s="26" t="n">
        <f aca="false">IF($A159="","",MONTH($A159))</f>
        <v>6</v>
      </c>
      <c r="D159" s="26" t="str">
        <f aca="false">IF($A159="","",IF(INDEX(Muster!$C$6:$BF$6,1,MOD($A159-Einstellungen!$C$6,Einstellungen!$C$7)+1)="","-",INDEX(Muster!$C$6:$BF$6,1,MOD($A159-Einstellungen!$C$6,Einstellungen!$C$7)+1)))</f>
        <v>-</v>
      </c>
      <c r="E159" s="27" t="n">
        <f aca="false">IF($A159="","",IFERROR(VLOOKUP(D159,Schichten!$A$5:$G$24,6,FALSE()),0))</f>
        <v>0</v>
      </c>
      <c r="F159" s="27" t="n">
        <f aca="false">IF($A159="","",IFERROR(VLOOKUP(D159,Schichten!$A$5:$G$24,7,FALSE()),0))</f>
        <v>0</v>
      </c>
      <c r="G159" s="28" t="str">
        <f aca="false">IF($A159="","",IF(N(E159)=0,"",$A159+VLOOKUP(D159,Schichten!$A$5:$G$24,3,FALSE())))</f>
        <v/>
      </c>
      <c r="H159" s="28" t="str">
        <f aca="false">IF(G159="","",$A159+VLOOKUP(D159,Schichten!$A$5:$G$24,4,FALSE())+IF(VLOOKUP(D159,Schichten!$A$5:$G$24,4,FALSE())&lt;=VLOOKUP(D159,Schichten!$A$5:$G$24,3,FALSE()),1,0))</f>
        <v/>
      </c>
      <c r="I159" s="28" t="n">
        <f aca="false">IF($A159="","",IF(N(E158)&gt;0,H158,I158))</f>
        <v>46541.25</v>
      </c>
      <c r="J159" s="27" t="str">
        <f aca="false">IF(OR(G159="",I159=""),"",(G159-I159)*24)</f>
        <v/>
      </c>
      <c r="K159" s="21" t="n">
        <f aca="false">IF($A159="","",IF(N(E159)&gt;0,N(K158)+1,0))</f>
        <v>0</v>
      </c>
      <c r="L159" s="21" t="n">
        <f aca="false">IF($A159="","",IF(N(F159)&gt;0,N(L158)+1,0))</f>
        <v>0</v>
      </c>
      <c r="M159" s="21" t="str">
        <f aca="false">IF($A159="","",IF(WEEKDAY($A159,2)&lt;&gt;7,"",IF(AND(OR(G159="",N(G159)&gt;=$A159+16/24,N(H159)&lt;=$A159+6/24),OR(I159="",N(I159)&lt;=$A159+6/24)),1,0)))</f>
        <v/>
      </c>
      <c r="N159" s="26" t="str">
        <f aca="false">IF($A159="","",IF(INDEX(Muster!$C$7:$BF$7,1,MOD($A159-Einstellungen!$C$6,Einstellungen!$C$7)+1)="","-",INDEX(Muster!$C$7:$BF$7,1,MOD($A159-Einstellungen!$C$6,Einstellungen!$C$7)+1)))</f>
        <v>N</v>
      </c>
      <c r="O159" s="27" t="n">
        <f aca="false">IF($A159="","",IFERROR(VLOOKUP(N159,Schichten!$A$5:$G$24,6,FALSE()),0))</f>
        <v>8</v>
      </c>
      <c r="P159" s="27" t="n">
        <f aca="false">IF($A159="","",IFERROR(VLOOKUP(N159,Schichten!$A$5:$G$24,7,FALSE()),0))</f>
        <v>7</v>
      </c>
      <c r="Q159" s="28" t="n">
        <f aca="false">IF($A159="","",IF(N(O159)=0,"",$A159+VLOOKUP(N159,Schichten!$A$5:$G$24,3,FALSE())))</f>
        <v>46542.9166666667</v>
      </c>
      <c r="R159" s="28" t="n">
        <f aca="false">IF(Q159="","",$A159+VLOOKUP(N159,Schichten!$A$5:$G$24,4,FALSE())+IF(VLOOKUP(N159,Schichten!$A$5:$G$24,4,FALSE())&lt;=VLOOKUP(N159,Schichten!$A$5:$G$24,3,FALSE()),1,0))</f>
        <v>46543.25</v>
      </c>
      <c r="S159" s="28" t="n">
        <f aca="false">IF($A159="","",IF(N(O158)&gt;0,R158,S158))</f>
        <v>46542.25</v>
      </c>
      <c r="T159" s="27" t="n">
        <f aca="false">IF(OR(Q159="",S159=""),"",(Q159-S159)*24)</f>
        <v>16</v>
      </c>
      <c r="U159" s="21" t="n">
        <f aca="false">IF($A159="","",IF(N(O159)&gt;0,N(U158)+1,0))</f>
        <v>6</v>
      </c>
      <c r="V159" s="21" t="n">
        <f aca="false">IF($A159="","",IF(N(P159)&gt;0,N(V158)+1,0))</f>
        <v>2</v>
      </c>
      <c r="W159" s="21" t="str">
        <f aca="false">IF($A159="","",IF(WEEKDAY($A159,2)&lt;&gt;7,"",IF(AND(OR(Q159="",N(Q159)&gt;=$A159+16/24,N(R159)&lt;=$A159+6/24),OR(S159="",N(S159)&lt;=$A159+6/24)),1,0)))</f>
        <v/>
      </c>
      <c r="X159" s="26" t="str">
        <f aca="false">IF($A159="","",IF(INDEX(Muster!$C$8:$BF$8,1,MOD($A159-Einstellungen!$C$6,Einstellungen!$C$7)+1)="","-",INDEX(Muster!$C$8:$BF$8,1,MOD($A159-Einstellungen!$C$6,Einstellungen!$C$7)+1)))</f>
        <v>S</v>
      </c>
      <c r="Y159" s="27" t="n">
        <f aca="false">IF($A159="","",IFERROR(VLOOKUP(X159,Schichten!$A$5:$G$24,6,FALSE()),0))</f>
        <v>8</v>
      </c>
      <c r="Z159" s="27" t="n">
        <f aca="false">IF($A159="","",IFERROR(VLOOKUP(X159,Schichten!$A$5:$G$24,7,FALSE()),0))</f>
        <v>0</v>
      </c>
      <c r="AA159" s="28" t="n">
        <f aca="false">IF($A159="","",IF(N(Y159)=0,"",$A159+VLOOKUP(X159,Schichten!$A$5:$G$24,3,FALSE())))</f>
        <v>46542.5833333333</v>
      </c>
      <c r="AB159" s="28" t="n">
        <f aca="false">IF(AA159="","",$A159+VLOOKUP(X159,Schichten!$A$5:$G$24,4,FALSE())+IF(VLOOKUP(X159,Schichten!$A$5:$G$24,4,FALSE())&lt;=VLOOKUP(X159,Schichten!$A$5:$G$24,3,FALSE()),1,0))</f>
        <v>46542.9166666667</v>
      </c>
      <c r="AC159" s="28" t="n">
        <f aca="false">IF($A159="","",IF(N(Y158)&gt;0,AB158,AC158))</f>
        <v>46541.9166666667</v>
      </c>
      <c r="AD159" s="27" t="n">
        <f aca="false">IF(OR(AA159="",AC159=""),"",(AA159-AC159)*24)</f>
        <v>16</v>
      </c>
      <c r="AE159" s="21" t="n">
        <f aca="false">IF($A159="","",IF(N(Y159)&gt;0,N(AE158)+1,0))</f>
        <v>4</v>
      </c>
      <c r="AF159" s="21" t="n">
        <f aca="false">IF($A159="","",IF(N(Z159)&gt;0,N(AF158)+1,0))</f>
        <v>0</v>
      </c>
      <c r="AG159" s="21" t="str">
        <f aca="false">IF($A159="","",IF(WEEKDAY($A159,2)&lt;&gt;7,"",IF(AND(OR(AA159="",N(AA159)&gt;=$A159+16/24,N(AB159)&lt;=$A159+6/24),OR(AC159="",N(AC159)&lt;=$A159+6/24)),1,0)))</f>
        <v/>
      </c>
      <c r="AH159" s="26" t="str">
        <f aca="false">IF($A159="","",IF(INDEX(Muster!$C$9:$BF$9,1,MOD($A159-Einstellungen!$C$6,Einstellungen!$C$7)+1)="","-",INDEX(Muster!$C$9:$BF$9,1,MOD($A159-Einstellungen!$C$6,Einstellungen!$C$7)+1)))</f>
        <v>F</v>
      </c>
      <c r="AI159" s="27" t="n">
        <f aca="false">IF($A159="","",IFERROR(VLOOKUP(AH159,Schichten!$A$5:$G$24,6,FALSE()),0))</f>
        <v>8</v>
      </c>
      <c r="AJ159" s="27" t="n">
        <f aca="false">IF($A159="","",IFERROR(VLOOKUP(AH159,Schichten!$A$5:$G$24,7,FALSE()),0))</f>
        <v>0</v>
      </c>
      <c r="AK159" s="28" t="n">
        <f aca="false">IF($A159="","",IF(N(AI159)=0,"",$A159+VLOOKUP(AH159,Schichten!$A$5:$G$24,3,FALSE())))</f>
        <v>46542.25</v>
      </c>
      <c r="AL159" s="28" t="n">
        <f aca="false">IF(AK159="","",$A159+VLOOKUP(AH159,Schichten!$A$5:$G$24,4,FALSE())+IF(VLOOKUP(AH159,Schichten!$A$5:$G$24,4,FALSE())&lt;=VLOOKUP(AH159,Schichten!$A$5:$G$24,3,FALSE()),1,0))</f>
        <v>46542.5833333333</v>
      </c>
      <c r="AM159" s="28" t="n">
        <f aca="false">IF($A159="","",IF(N(AI158)&gt;0,AL158,AM158))</f>
        <v>46541.5833333333</v>
      </c>
      <c r="AN159" s="27" t="n">
        <f aca="false">IF(OR(AK159="",AM159=""),"",(AK159-AM159)*24)</f>
        <v>16</v>
      </c>
      <c r="AO159" s="21" t="n">
        <f aca="false">IF($A159="","",IF(N(AI159)&gt;0,N(AO158)+1,0))</f>
        <v>2</v>
      </c>
      <c r="AP159" s="21" t="n">
        <f aca="false">IF($A159="","",IF(N(AJ159)&gt;0,N(AP158)+1,0))</f>
        <v>0</v>
      </c>
      <c r="AQ159" s="21" t="str">
        <f aca="false">IF($A159="","",IF(WEEKDAY($A159,2)&lt;&gt;7,"",IF(AND(OR(AK159="",N(AK159)&gt;=$A159+16/24,N(AL159)&lt;=$A159+6/24),OR(AM159="",N(AM159)&lt;=$A159+6/24)),1,0)))</f>
        <v/>
      </c>
      <c r="AR159" s="26" t="str">
        <f aca="false">IF($A159="","",IF(INDEX(Muster!$C$10:$BF$10,1,MOD($A159-Einstellungen!$C$6,Einstellungen!$C$7)+1)="","-",INDEX(Muster!$C$10:$BF$10,1,MOD($A159-Einstellungen!$C$6,Einstellungen!$C$7)+1)))</f>
        <v>-</v>
      </c>
      <c r="AS159" s="27" t="n">
        <f aca="false">IF($A159="","",IFERROR(VLOOKUP(AR159,Schichten!$A$5:$G$24,6,FALSE()),0))</f>
        <v>0</v>
      </c>
      <c r="AT159" s="27" t="n">
        <f aca="false">IF($A159="","",IFERROR(VLOOKUP(AR159,Schichten!$A$5:$G$24,7,FALSE()),0))</f>
        <v>0</v>
      </c>
      <c r="AU159" s="28" t="str">
        <f aca="false">IF($A159="","",IF(N(AS159)=0,"",$A159+VLOOKUP(AR159,Schichten!$A$5:$G$24,3,FALSE())))</f>
        <v/>
      </c>
      <c r="AV159" s="28" t="str">
        <f aca="false">IF(AU159="","",$A159+VLOOKUP(AR159,Schichten!$A$5:$G$24,4,FALSE())+IF(VLOOKUP(AR159,Schichten!$A$5:$G$24,4,FALSE())&lt;=VLOOKUP(AR159,Schichten!$A$5:$G$24,3,FALSE()),1,0))</f>
        <v/>
      </c>
      <c r="AW159" s="28" t="str">
        <f aca="false">IF($A159="","",IF(N(AS158)&gt;0,AV158,AW158))</f>
        <v/>
      </c>
      <c r="AX159" s="27" t="str">
        <f aca="false">IF(OR(AU159="",AW159=""),"",(AU159-AW159)*24)</f>
        <v/>
      </c>
      <c r="AY159" s="21" t="n">
        <f aca="false">IF($A159="","",IF(N(AS159)&gt;0,N(AY158)+1,0))</f>
        <v>0</v>
      </c>
      <c r="AZ159" s="21" t="n">
        <f aca="false">IF($A159="","",IF(N(AT159)&gt;0,N(AZ158)+1,0))</f>
        <v>0</v>
      </c>
      <c r="BA159" s="21" t="str">
        <f aca="false">IF($A159="","",IF(WEEKDAY($A159,2)&lt;&gt;7,"",IF(AND(OR(AU159="",N(AU159)&gt;=$A159+16/24,N(AV159)&lt;=$A159+6/24),OR(AW159="",N(AW159)&lt;=$A159+6/24)),1,0)))</f>
        <v/>
      </c>
    </row>
    <row r="160" customFormat="false" ht="15" hidden="false" customHeight="false" outlineLevel="0" collapsed="false">
      <c r="A160" s="25" t="n">
        <f aca="false">IF(YEAR(DATE(Einstellungen!$C$4,1,1)+155)=Einstellungen!$C$4,DATE(Einstellungen!$C$4,1,1)+155,"")</f>
        <v>46543</v>
      </c>
      <c r="B160" s="26" t="str">
        <f aca="false">IF($A160="","",CHOOSE(WEEKDAY($A160,2),"Mo","Di","Mi","Do","Fr","Sa","So"))</f>
        <v>Sa</v>
      </c>
      <c r="C160" s="26" t="n">
        <f aca="false">IF($A160="","",MONTH($A160))</f>
        <v>6</v>
      </c>
      <c r="D160" s="26" t="str">
        <f aca="false">IF($A160="","",IF(INDEX(Muster!$C$6:$BF$6,1,MOD($A160-Einstellungen!$C$6,Einstellungen!$C$7)+1)="","-",INDEX(Muster!$C$6:$BF$6,1,MOD($A160-Einstellungen!$C$6,Einstellungen!$C$7)+1)))</f>
        <v>F</v>
      </c>
      <c r="E160" s="27" t="n">
        <f aca="false">IF($A160="","",IFERROR(VLOOKUP(D160,Schichten!$A$5:$G$24,6,FALSE()),0))</f>
        <v>8</v>
      </c>
      <c r="F160" s="27" t="n">
        <f aca="false">IF($A160="","",IFERROR(VLOOKUP(D160,Schichten!$A$5:$G$24,7,FALSE()),0))</f>
        <v>0</v>
      </c>
      <c r="G160" s="28" t="n">
        <f aca="false">IF($A160="","",IF(N(E160)=0,"",$A160+VLOOKUP(D160,Schichten!$A$5:$G$24,3,FALSE())))</f>
        <v>46543.25</v>
      </c>
      <c r="H160" s="28" t="n">
        <f aca="false">IF(G160="","",$A160+VLOOKUP(D160,Schichten!$A$5:$G$24,4,FALSE())+IF(VLOOKUP(D160,Schichten!$A$5:$G$24,4,FALSE())&lt;=VLOOKUP(D160,Schichten!$A$5:$G$24,3,FALSE()),1,0))</f>
        <v>46543.5833333333</v>
      </c>
      <c r="I160" s="28" t="n">
        <f aca="false">IF($A160="","",IF(N(E159)&gt;0,H159,I159))</f>
        <v>46541.25</v>
      </c>
      <c r="J160" s="27" t="n">
        <f aca="false">IF(OR(G160="",I160=""),"",(G160-I160)*24)</f>
        <v>48</v>
      </c>
      <c r="K160" s="21" t="n">
        <f aca="false">IF($A160="","",IF(N(E160)&gt;0,N(K159)+1,0))</f>
        <v>1</v>
      </c>
      <c r="L160" s="21" t="n">
        <f aca="false">IF($A160="","",IF(N(F160)&gt;0,N(L159)+1,0))</f>
        <v>0</v>
      </c>
      <c r="M160" s="21" t="str">
        <f aca="false">IF($A160="","",IF(WEEKDAY($A160,2)&lt;&gt;7,"",IF(AND(OR(G160="",N(G160)&gt;=$A160+16/24,N(H160)&lt;=$A160+6/24),OR(I160="",N(I160)&lt;=$A160+6/24)),1,0)))</f>
        <v/>
      </c>
      <c r="N160" s="26" t="str">
        <f aca="false">IF($A160="","",IF(INDEX(Muster!$C$7:$BF$7,1,MOD($A160-Einstellungen!$C$6,Einstellungen!$C$7)+1)="","-",INDEX(Muster!$C$7:$BF$7,1,MOD($A160-Einstellungen!$C$6,Einstellungen!$C$7)+1)))</f>
        <v>-</v>
      </c>
      <c r="O160" s="27" t="n">
        <f aca="false">IF($A160="","",IFERROR(VLOOKUP(N160,Schichten!$A$5:$G$24,6,FALSE()),0))</f>
        <v>0</v>
      </c>
      <c r="P160" s="27" t="n">
        <f aca="false">IF($A160="","",IFERROR(VLOOKUP(N160,Schichten!$A$5:$G$24,7,FALSE()),0))</f>
        <v>0</v>
      </c>
      <c r="Q160" s="28" t="str">
        <f aca="false">IF($A160="","",IF(N(O160)=0,"",$A160+VLOOKUP(N160,Schichten!$A$5:$G$24,3,FALSE())))</f>
        <v/>
      </c>
      <c r="R160" s="28" t="str">
        <f aca="false">IF(Q160="","",$A160+VLOOKUP(N160,Schichten!$A$5:$G$24,4,FALSE())+IF(VLOOKUP(N160,Schichten!$A$5:$G$24,4,FALSE())&lt;=VLOOKUP(N160,Schichten!$A$5:$G$24,3,FALSE()),1,0))</f>
        <v/>
      </c>
      <c r="S160" s="28" t="n">
        <f aca="false">IF($A160="","",IF(N(O159)&gt;0,R159,S159))</f>
        <v>46543.25</v>
      </c>
      <c r="T160" s="27" t="str">
        <f aca="false">IF(OR(Q160="",S160=""),"",(Q160-S160)*24)</f>
        <v/>
      </c>
      <c r="U160" s="21" t="n">
        <f aca="false">IF($A160="","",IF(N(O160)&gt;0,N(U159)+1,0))</f>
        <v>0</v>
      </c>
      <c r="V160" s="21" t="n">
        <f aca="false">IF($A160="","",IF(N(P160)&gt;0,N(V159)+1,0))</f>
        <v>0</v>
      </c>
      <c r="W160" s="21" t="str">
        <f aca="false">IF($A160="","",IF(WEEKDAY($A160,2)&lt;&gt;7,"",IF(AND(OR(Q160="",N(Q160)&gt;=$A160+16/24,N(R160)&lt;=$A160+6/24),OR(S160="",N(S160)&lt;=$A160+6/24)),1,0)))</f>
        <v/>
      </c>
      <c r="X160" s="26" t="str">
        <f aca="false">IF($A160="","",IF(INDEX(Muster!$C$8:$BF$8,1,MOD($A160-Einstellungen!$C$6,Einstellungen!$C$7)+1)="","-",INDEX(Muster!$C$8:$BF$8,1,MOD($A160-Einstellungen!$C$6,Einstellungen!$C$7)+1)))</f>
        <v>N</v>
      </c>
      <c r="Y160" s="27" t="n">
        <f aca="false">IF($A160="","",IFERROR(VLOOKUP(X160,Schichten!$A$5:$G$24,6,FALSE()),0))</f>
        <v>8</v>
      </c>
      <c r="Z160" s="27" t="n">
        <f aca="false">IF($A160="","",IFERROR(VLOOKUP(X160,Schichten!$A$5:$G$24,7,FALSE()),0))</f>
        <v>7</v>
      </c>
      <c r="AA160" s="28" t="n">
        <f aca="false">IF($A160="","",IF(N(Y160)=0,"",$A160+VLOOKUP(X160,Schichten!$A$5:$G$24,3,FALSE())))</f>
        <v>46543.9166666667</v>
      </c>
      <c r="AB160" s="28" t="n">
        <f aca="false">IF(AA160="","",$A160+VLOOKUP(X160,Schichten!$A$5:$G$24,4,FALSE())+IF(VLOOKUP(X160,Schichten!$A$5:$G$24,4,FALSE())&lt;=VLOOKUP(X160,Schichten!$A$5:$G$24,3,FALSE()),1,0))</f>
        <v>46544.25</v>
      </c>
      <c r="AC160" s="28" t="n">
        <f aca="false">IF($A160="","",IF(N(Y159)&gt;0,AB159,AC159))</f>
        <v>46542.9166666667</v>
      </c>
      <c r="AD160" s="27" t="n">
        <f aca="false">IF(OR(AA160="",AC160=""),"",(AA160-AC160)*24)</f>
        <v>24</v>
      </c>
      <c r="AE160" s="21" t="n">
        <f aca="false">IF($A160="","",IF(N(Y160)&gt;0,N(AE159)+1,0))</f>
        <v>5</v>
      </c>
      <c r="AF160" s="21" t="n">
        <f aca="false">IF($A160="","",IF(N(Z160)&gt;0,N(AF159)+1,0))</f>
        <v>1</v>
      </c>
      <c r="AG160" s="21" t="str">
        <f aca="false">IF($A160="","",IF(WEEKDAY($A160,2)&lt;&gt;7,"",IF(AND(OR(AA160="",N(AA160)&gt;=$A160+16/24,N(AB160)&lt;=$A160+6/24),OR(AC160="",N(AC160)&lt;=$A160+6/24)),1,0)))</f>
        <v/>
      </c>
      <c r="AH160" s="26" t="str">
        <f aca="false">IF($A160="","",IF(INDEX(Muster!$C$9:$BF$9,1,MOD($A160-Einstellungen!$C$6,Einstellungen!$C$7)+1)="","-",INDEX(Muster!$C$9:$BF$9,1,MOD($A160-Einstellungen!$C$6,Einstellungen!$C$7)+1)))</f>
        <v>S</v>
      </c>
      <c r="AI160" s="27" t="n">
        <f aca="false">IF($A160="","",IFERROR(VLOOKUP(AH160,Schichten!$A$5:$G$24,6,FALSE()),0))</f>
        <v>8</v>
      </c>
      <c r="AJ160" s="27" t="n">
        <f aca="false">IF($A160="","",IFERROR(VLOOKUP(AH160,Schichten!$A$5:$G$24,7,FALSE()),0))</f>
        <v>0</v>
      </c>
      <c r="AK160" s="28" t="n">
        <f aca="false">IF($A160="","",IF(N(AI160)=0,"",$A160+VLOOKUP(AH160,Schichten!$A$5:$G$24,3,FALSE())))</f>
        <v>46543.5833333333</v>
      </c>
      <c r="AL160" s="28" t="n">
        <f aca="false">IF(AK160="","",$A160+VLOOKUP(AH160,Schichten!$A$5:$G$24,4,FALSE())+IF(VLOOKUP(AH160,Schichten!$A$5:$G$24,4,FALSE())&lt;=VLOOKUP(AH160,Schichten!$A$5:$G$24,3,FALSE()),1,0))</f>
        <v>46543.9166666667</v>
      </c>
      <c r="AM160" s="28" t="n">
        <f aca="false">IF($A160="","",IF(N(AI159)&gt;0,AL159,AM159))</f>
        <v>46542.5833333333</v>
      </c>
      <c r="AN160" s="27" t="n">
        <f aca="false">IF(OR(AK160="",AM160=""),"",(AK160-AM160)*24)</f>
        <v>24</v>
      </c>
      <c r="AO160" s="21" t="n">
        <f aca="false">IF($A160="","",IF(N(AI160)&gt;0,N(AO159)+1,0))</f>
        <v>3</v>
      </c>
      <c r="AP160" s="21" t="n">
        <f aca="false">IF($A160="","",IF(N(AJ160)&gt;0,N(AP159)+1,0))</f>
        <v>0</v>
      </c>
      <c r="AQ160" s="21" t="str">
        <f aca="false">IF($A160="","",IF(WEEKDAY($A160,2)&lt;&gt;7,"",IF(AND(OR(AK160="",N(AK160)&gt;=$A160+16/24,N(AL160)&lt;=$A160+6/24),OR(AM160="",N(AM160)&lt;=$A160+6/24)),1,0)))</f>
        <v/>
      </c>
      <c r="AR160" s="26" t="str">
        <f aca="false">IF($A160="","",IF(INDEX(Muster!$C$10:$BF$10,1,MOD($A160-Einstellungen!$C$6,Einstellungen!$C$7)+1)="","-",INDEX(Muster!$C$10:$BF$10,1,MOD($A160-Einstellungen!$C$6,Einstellungen!$C$7)+1)))</f>
        <v>-</v>
      </c>
      <c r="AS160" s="27" t="n">
        <f aca="false">IF($A160="","",IFERROR(VLOOKUP(AR160,Schichten!$A$5:$G$24,6,FALSE()),0))</f>
        <v>0</v>
      </c>
      <c r="AT160" s="27" t="n">
        <f aca="false">IF($A160="","",IFERROR(VLOOKUP(AR160,Schichten!$A$5:$G$24,7,FALSE()),0))</f>
        <v>0</v>
      </c>
      <c r="AU160" s="28" t="str">
        <f aca="false">IF($A160="","",IF(N(AS160)=0,"",$A160+VLOOKUP(AR160,Schichten!$A$5:$G$24,3,FALSE())))</f>
        <v/>
      </c>
      <c r="AV160" s="28" t="str">
        <f aca="false">IF(AU160="","",$A160+VLOOKUP(AR160,Schichten!$A$5:$G$24,4,FALSE())+IF(VLOOKUP(AR160,Schichten!$A$5:$G$24,4,FALSE())&lt;=VLOOKUP(AR160,Schichten!$A$5:$G$24,3,FALSE()),1,0))</f>
        <v/>
      </c>
      <c r="AW160" s="28" t="str">
        <f aca="false">IF($A160="","",IF(N(AS159)&gt;0,AV159,AW159))</f>
        <v/>
      </c>
      <c r="AX160" s="27" t="str">
        <f aca="false">IF(OR(AU160="",AW160=""),"",(AU160-AW160)*24)</f>
        <v/>
      </c>
      <c r="AY160" s="21" t="n">
        <f aca="false">IF($A160="","",IF(N(AS160)&gt;0,N(AY159)+1,0))</f>
        <v>0</v>
      </c>
      <c r="AZ160" s="21" t="n">
        <f aca="false">IF($A160="","",IF(N(AT160)&gt;0,N(AZ159)+1,0))</f>
        <v>0</v>
      </c>
      <c r="BA160" s="21" t="str">
        <f aca="false">IF($A160="","",IF(WEEKDAY($A160,2)&lt;&gt;7,"",IF(AND(OR(AU160="",N(AU160)&gt;=$A160+16/24,N(AV160)&lt;=$A160+6/24),OR(AW160="",N(AW160)&lt;=$A160+6/24)),1,0)))</f>
        <v/>
      </c>
    </row>
    <row r="161" customFormat="false" ht="15" hidden="false" customHeight="false" outlineLevel="0" collapsed="false">
      <c r="A161" s="25" t="n">
        <f aca="false">IF(YEAR(DATE(Einstellungen!$C$4,1,1)+156)=Einstellungen!$C$4,DATE(Einstellungen!$C$4,1,1)+156,"")</f>
        <v>46544</v>
      </c>
      <c r="B161" s="26" t="str">
        <f aca="false">IF($A161="","",CHOOSE(WEEKDAY($A161,2),"Mo","Di","Mi","Do","Fr","Sa","So"))</f>
        <v>So</v>
      </c>
      <c r="C161" s="26" t="n">
        <f aca="false">IF($A161="","",MONTH($A161))</f>
        <v>6</v>
      </c>
      <c r="D161" s="26" t="str">
        <f aca="false">IF($A161="","",IF(INDEX(Muster!$C$6:$BF$6,1,MOD($A161-Einstellungen!$C$6,Einstellungen!$C$7)+1)="","-",INDEX(Muster!$C$6:$BF$6,1,MOD($A161-Einstellungen!$C$6,Einstellungen!$C$7)+1)))</f>
        <v>F</v>
      </c>
      <c r="E161" s="27" t="n">
        <f aca="false">IF($A161="","",IFERROR(VLOOKUP(D161,Schichten!$A$5:$G$24,6,FALSE()),0))</f>
        <v>8</v>
      </c>
      <c r="F161" s="27" t="n">
        <f aca="false">IF($A161="","",IFERROR(VLOOKUP(D161,Schichten!$A$5:$G$24,7,FALSE()),0))</f>
        <v>0</v>
      </c>
      <c r="G161" s="28" t="n">
        <f aca="false">IF($A161="","",IF(N(E161)=0,"",$A161+VLOOKUP(D161,Schichten!$A$5:$G$24,3,FALSE())))</f>
        <v>46544.25</v>
      </c>
      <c r="H161" s="28" t="n">
        <f aca="false">IF(G161="","",$A161+VLOOKUP(D161,Schichten!$A$5:$G$24,4,FALSE())+IF(VLOOKUP(D161,Schichten!$A$5:$G$24,4,FALSE())&lt;=VLOOKUP(D161,Schichten!$A$5:$G$24,3,FALSE()),1,0))</f>
        <v>46544.5833333333</v>
      </c>
      <c r="I161" s="28" t="n">
        <f aca="false">IF($A161="","",IF(N(E160)&gt;0,H160,I160))</f>
        <v>46543.5833333333</v>
      </c>
      <c r="J161" s="27" t="n">
        <f aca="false">IF(OR(G161="",I161=""),"",(G161-I161)*24)</f>
        <v>16</v>
      </c>
      <c r="K161" s="21" t="n">
        <f aca="false">IF($A161="","",IF(N(E161)&gt;0,N(K160)+1,0))</f>
        <v>2</v>
      </c>
      <c r="L161" s="21" t="n">
        <f aca="false">IF($A161="","",IF(N(F161)&gt;0,N(L160)+1,0))</f>
        <v>0</v>
      </c>
      <c r="M161" s="21" t="n">
        <f aca="false">IF($A161="","",IF(WEEKDAY($A161,2)&lt;&gt;7,"",IF(AND(OR(G161="",N(G161)&gt;=$A161+16/24,N(H161)&lt;=$A161+6/24),OR(I161="",N(I161)&lt;=$A161+6/24)),1,0)))</f>
        <v>0</v>
      </c>
      <c r="N161" s="26" t="str">
        <f aca="false">IF($A161="","",IF(INDEX(Muster!$C$7:$BF$7,1,MOD($A161-Einstellungen!$C$6,Einstellungen!$C$7)+1)="","-",INDEX(Muster!$C$7:$BF$7,1,MOD($A161-Einstellungen!$C$6,Einstellungen!$C$7)+1)))</f>
        <v>-</v>
      </c>
      <c r="O161" s="27" t="n">
        <f aca="false">IF($A161="","",IFERROR(VLOOKUP(N161,Schichten!$A$5:$G$24,6,FALSE()),0))</f>
        <v>0</v>
      </c>
      <c r="P161" s="27" t="n">
        <f aca="false">IF($A161="","",IFERROR(VLOOKUP(N161,Schichten!$A$5:$G$24,7,FALSE()),0))</f>
        <v>0</v>
      </c>
      <c r="Q161" s="28" t="str">
        <f aca="false">IF($A161="","",IF(N(O161)=0,"",$A161+VLOOKUP(N161,Schichten!$A$5:$G$24,3,FALSE())))</f>
        <v/>
      </c>
      <c r="R161" s="28" t="str">
        <f aca="false">IF(Q161="","",$A161+VLOOKUP(N161,Schichten!$A$5:$G$24,4,FALSE())+IF(VLOOKUP(N161,Schichten!$A$5:$G$24,4,FALSE())&lt;=VLOOKUP(N161,Schichten!$A$5:$G$24,3,FALSE()),1,0))</f>
        <v/>
      </c>
      <c r="S161" s="28" t="n">
        <f aca="false">IF($A161="","",IF(N(O160)&gt;0,R160,S160))</f>
        <v>46543.25</v>
      </c>
      <c r="T161" s="27" t="str">
        <f aca="false">IF(OR(Q161="",S161=""),"",(Q161-S161)*24)</f>
        <v/>
      </c>
      <c r="U161" s="21" t="n">
        <f aca="false">IF($A161="","",IF(N(O161)&gt;0,N(U160)+1,0))</f>
        <v>0</v>
      </c>
      <c r="V161" s="21" t="n">
        <f aca="false">IF($A161="","",IF(N(P161)&gt;0,N(V160)+1,0))</f>
        <v>0</v>
      </c>
      <c r="W161" s="21" t="n">
        <f aca="false">IF($A161="","",IF(WEEKDAY($A161,2)&lt;&gt;7,"",IF(AND(OR(Q161="",N(Q161)&gt;=$A161+16/24,N(R161)&lt;=$A161+6/24),OR(S161="",N(S161)&lt;=$A161+6/24)),1,0)))</f>
        <v>1</v>
      </c>
      <c r="X161" s="26" t="str">
        <f aca="false">IF($A161="","",IF(INDEX(Muster!$C$8:$BF$8,1,MOD($A161-Einstellungen!$C$6,Einstellungen!$C$7)+1)="","-",INDEX(Muster!$C$8:$BF$8,1,MOD($A161-Einstellungen!$C$6,Einstellungen!$C$7)+1)))</f>
        <v>N</v>
      </c>
      <c r="Y161" s="27" t="n">
        <f aca="false">IF($A161="","",IFERROR(VLOOKUP(X161,Schichten!$A$5:$G$24,6,FALSE()),0))</f>
        <v>8</v>
      </c>
      <c r="Z161" s="27" t="n">
        <f aca="false">IF($A161="","",IFERROR(VLOOKUP(X161,Schichten!$A$5:$G$24,7,FALSE()),0))</f>
        <v>7</v>
      </c>
      <c r="AA161" s="28" t="n">
        <f aca="false">IF($A161="","",IF(N(Y161)=0,"",$A161+VLOOKUP(X161,Schichten!$A$5:$G$24,3,FALSE())))</f>
        <v>46544.9166666667</v>
      </c>
      <c r="AB161" s="28" t="n">
        <f aca="false">IF(AA161="","",$A161+VLOOKUP(X161,Schichten!$A$5:$G$24,4,FALSE())+IF(VLOOKUP(X161,Schichten!$A$5:$G$24,4,FALSE())&lt;=VLOOKUP(X161,Schichten!$A$5:$G$24,3,FALSE()),1,0))</f>
        <v>46545.25</v>
      </c>
      <c r="AC161" s="28" t="n">
        <f aca="false">IF($A161="","",IF(N(Y160)&gt;0,AB160,AC160))</f>
        <v>46544.25</v>
      </c>
      <c r="AD161" s="27" t="n">
        <f aca="false">IF(OR(AA161="",AC161=""),"",(AA161-AC161)*24)</f>
        <v>16</v>
      </c>
      <c r="AE161" s="21" t="n">
        <f aca="false">IF($A161="","",IF(N(Y161)&gt;0,N(AE160)+1,0))</f>
        <v>6</v>
      </c>
      <c r="AF161" s="21" t="n">
        <f aca="false">IF($A161="","",IF(N(Z161)&gt;0,N(AF160)+1,0))</f>
        <v>2</v>
      </c>
      <c r="AG161" s="21" t="n">
        <f aca="false">IF($A161="","",IF(WEEKDAY($A161,2)&lt;&gt;7,"",IF(AND(OR(AA161="",N(AA161)&gt;=$A161+16/24,N(AB161)&lt;=$A161+6/24),OR(AC161="",N(AC161)&lt;=$A161+6/24)),1,0)))</f>
        <v>1</v>
      </c>
      <c r="AH161" s="26" t="str">
        <f aca="false">IF($A161="","",IF(INDEX(Muster!$C$9:$BF$9,1,MOD($A161-Einstellungen!$C$6,Einstellungen!$C$7)+1)="","-",INDEX(Muster!$C$9:$BF$9,1,MOD($A161-Einstellungen!$C$6,Einstellungen!$C$7)+1)))</f>
        <v>S</v>
      </c>
      <c r="AI161" s="27" t="n">
        <f aca="false">IF($A161="","",IFERROR(VLOOKUP(AH161,Schichten!$A$5:$G$24,6,FALSE()),0))</f>
        <v>8</v>
      </c>
      <c r="AJ161" s="27" t="n">
        <f aca="false">IF($A161="","",IFERROR(VLOOKUP(AH161,Schichten!$A$5:$G$24,7,FALSE()),0))</f>
        <v>0</v>
      </c>
      <c r="AK161" s="28" t="n">
        <f aca="false">IF($A161="","",IF(N(AI161)=0,"",$A161+VLOOKUP(AH161,Schichten!$A$5:$G$24,3,FALSE())))</f>
        <v>46544.5833333333</v>
      </c>
      <c r="AL161" s="28" t="n">
        <f aca="false">IF(AK161="","",$A161+VLOOKUP(AH161,Schichten!$A$5:$G$24,4,FALSE())+IF(VLOOKUP(AH161,Schichten!$A$5:$G$24,4,FALSE())&lt;=VLOOKUP(AH161,Schichten!$A$5:$G$24,3,FALSE()),1,0))</f>
        <v>46544.9166666667</v>
      </c>
      <c r="AM161" s="28" t="n">
        <f aca="false">IF($A161="","",IF(N(AI160)&gt;0,AL160,AM160))</f>
        <v>46543.9166666667</v>
      </c>
      <c r="AN161" s="27" t="n">
        <f aca="false">IF(OR(AK161="",AM161=""),"",(AK161-AM161)*24)</f>
        <v>16</v>
      </c>
      <c r="AO161" s="21" t="n">
        <f aca="false">IF($A161="","",IF(N(AI161)&gt;0,N(AO160)+1,0))</f>
        <v>4</v>
      </c>
      <c r="AP161" s="21" t="n">
        <f aca="false">IF($A161="","",IF(N(AJ161)&gt;0,N(AP160)+1,0))</f>
        <v>0</v>
      </c>
      <c r="AQ161" s="21" t="n">
        <f aca="false">IF($A161="","",IF(WEEKDAY($A161,2)&lt;&gt;7,"",IF(AND(OR(AK161="",N(AK161)&gt;=$A161+16/24,N(AL161)&lt;=$A161+6/24),OR(AM161="",N(AM161)&lt;=$A161+6/24)),1,0)))</f>
        <v>0</v>
      </c>
      <c r="AR161" s="26" t="str">
        <f aca="false">IF($A161="","",IF(INDEX(Muster!$C$10:$BF$10,1,MOD($A161-Einstellungen!$C$6,Einstellungen!$C$7)+1)="","-",INDEX(Muster!$C$10:$BF$10,1,MOD($A161-Einstellungen!$C$6,Einstellungen!$C$7)+1)))</f>
        <v>-</v>
      </c>
      <c r="AS161" s="27" t="n">
        <f aca="false">IF($A161="","",IFERROR(VLOOKUP(AR161,Schichten!$A$5:$G$24,6,FALSE()),0))</f>
        <v>0</v>
      </c>
      <c r="AT161" s="27" t="n">
        <f aca="false">IF($A161="","",IFERROR(VLOOKUP(AR161,Schichten!$A$5:$G$24,7,FALSE()),0))</f>
        <v>0</v>
      </c>
      <c r="AU161" s="28" t="str">
        <f aca="false">IF($A161="","",IF(N(AS161)=0,"",$A161+VLOOKUP(AR161,Schichten!$A$5:$G$24,3,FALSE())))</f>
        <v/>
      </c>
      <c r="AV161" s="28" t="str">
        <f aca="false">IF(AU161="","",$A161+VLOOKUP(AR161,Schichten!$A$5:$G$24,4,FALSE())+IF(VLOOKUP(AR161,Schichten!$A$5:$G$24,4,FALSE())&lt;=VLOOKUP(AR161,Schichten!$A$5:$G$24,3,FALSE()),1,0))</f>
        <v/>
      </c>
      <c r="AW161" s="28" t="str">
        <f aca="false">IF($A161="","",IF(N(AS160)&gt;0,AV160,AW160))</f>
        <v/>
      </c>
      <c r="AX161" s="27" t="str">
        <f aca="false">IF(OR(AU161="",AW161=""),"",(AU161-AW161)*24)</f>
        <v/>
      </c>
      <c r="AY161" s="21" t="n">
        <f aca="false">IF($A161="","",IF(N(AS161)&gt;0,N(AY160)+1,0))</f>
        <v>0</v>
      </c>
      <c r="AZ161" s="21" t="n">
        <f aca="false">IF($A161="","",IF(N(AT161)&gt;0,N(AZ160)+1,0))</f>
        <v>0</v>
      </c>
      <c r="BA161" s="21" t="n">
        <f aca="false">IF($A161="","",IF(WEEKDAY($A161,2)&lt;&gt;7,"",IF(AND(OR(AU161="",N(AU161)&gt;=$A161+16/24,N(AV161)&lt;=$A161+6/24),OR(AW161="",N(AW161)&lt;=$A161+6/24)),1,0)))</f>
        <v>1</v>
      </c>
    </row>
    <row r="162" customFormat="false" ht="15" hidden="false" customHeight="false" outlineLevel="0" collapsed="false">
      <c r="A162" s="25" t="n">
        <f aca="false">IF(YEAR(DATE(Einstellungen!$C$4,1,1)+157)=Einstellungen!$C$4,DATE(Einstellungen!$C$4,1,1)+157,"")</f>
        <v>46545</v>
      </c>
      <c r="B162" s="26" t="str">
        <f aca="false">IF($A162="","",CHOOSE(WEEKDAY($A162,2),"Mo","Di","Mi","Do","Fr","Sa","So"))</f>
        <v>Mo</v>
      </c>
      <c r="C162" s="26" t="n">
        <f aca="false">IF($A162="","",MONTH($A162))</f>
        <v>6</v>
      </c>
      <c r="D162" s="26" t="str">
        <f aca="false">IF($A162="","",IF(INDEX(Muster!$C$6:$BF$6,1,MOD($A162-Einstellungen!$C$6,Einstellungen!$C$7)+1)="","-",INDEX(Muster!$C$6:$BF$6,1,MOD($A162-Einstellungen!$C$6,Einstellungen!$C$7)+1)))</f>
        <v>S</v>
      </c>
      <c r="E162" s="27" t="n">
        <f aca="false">IF($A162="","",IFERROR(VLOOKUP(D162,Schichten!$A$5:$G$24,6,FALSE()),0))</f>
        <v>8</v>
      </c>
      <c r="F162" s="27" t="n">
        <f aca="false">IF($A162="","",IFERROR(VLOOKUP(D162,Schichten!$A$5:$G$24,7,FALSE()),0))</f>
        <v>0</v>
      </c>
      <c r="G162" s="28" t="n">
        <f aca="false">IF($A162="","",IF(N(E162)=0,"",$A162+VLOOKUP(D162,Schichten!$A$5:$G$24,3,FALSE())))</f>
        <v>46545.5833333333</v>
      </c>
      <c r="H162" s="28" t="n">
        <f aca="false">IF(G162="","",$A162+VLOOKUP(D162,Schichten!$A$5:$G$24,4,FALSE())+IF(VLOOKUP(D162,Schichten!$A$5:$G$24,4,FALSE())&lt;=VLOOKUP(D162,Schichten!$A$5:$G$24,3,FALSE()),1,0))</f>
        <v>46545.9166666667</v>
      </c>
      <c r="I162" s="28" t="n">
        <f aca="false">IF($A162="","",IF(N(E161)&gt;0,H161,I161))</f>
        <v>46544.5833333333</v>
      </c>
      <c r="J162" s="27" t="n">
        <f aca="false">IF(OR(G162="",I162=""),"",(G162-I162)*24)</f>
        <v>24</v>
      </c>
      <c r="K162" s="21" t="n">
        <f aca="false">IF($A162="","",IF(N(E162)&gt;0,N(K161)+1,0))</f>
        <v>3</v>
      </c>
      <c r="L162" s="21" t="n">
        <f aca="false">IF($A162="","",IF(N(F162)&gt;0,N(L161)+1,0))</f>
        <v>0</v>
      </c>
      <c r="M162" s="21" t="str">
        <f aca="false">IF($A162="","",IF(WEEKDAY($A162,2)&lt;&gt;7,"",IF(AND(OR(G162="",N(G162)&gt;=$A162+16/24,N(H162)&lt;=$A162+6/24),OR(I162="",N(I162)&lt;=$A162+6/24)),1,0)))</f>
        <v/>
      </c>
      <c r="N162" s="26" t="str">
        <f aca="false">IF($A162="","",IF(INDEX(Muster!$C$7:$BF$7,1,MOD($A162-Einstellungen!$C$6,Einstellungen!$C$7)+1)="","-",INDEX(Muster!$C$7:$BF$7,1,MOD($A162-Einstellungen!$C$6,Einstellungen!$C$7)+1)))</f>
        <v>F</v>
      </c>
      <c r="O162" s="27" t="n">
        <f aca="false">IF($A162="","",IFERROR(VLOOKUP(N162,Schichten!$A$5:$G$24,6,FALSE()),0))</f>
        <v>8</v>
      </c>
      <c r="P162" s="27" t="n">
        <f aca="false">IF($A162="","",IFERROR(VLOOKUP(N162,Schichten!$A$5:$G$24,7,FALSE()),0))</f>
        <v>0</v>
      </c>
      <c r="Q162" s="28" t="n">
        <f aca="false">IF($A162="","",IF(N(O162)=0,"",$A162+VLOOKUP(N162,Schichten!$A$5:$G$24,3,FALSE())))</f>
        <v>46545.25</v>
      </c>
      <c r="R162" s="28" t="n">
        <f aca="false">IF(Q162="","",$A162+VLOOKUP(N162,Schichten!$A$5:$G$24,4,FALSE())+IF(VLOOKUP(N162,Schichten!$A$5:$G$24,4,FALSE())&lt;=VLOOKUP(N162,Schichten!$A$5:$G$24,3,FALSE()),1,0))</f>
        <v>46545.5833333333</v>
      </c>
      <c r="S162" s="28" t="n">
        <f aca="false">IF($A162="","",IF(N(O161)&gt;0,R161,S161))</f>
        <v>46543.25</v>
      </c>
      <c r="T162" s="27" t="n">
        <f aca="false">IF(OR(Q162="",S162=""),"",(Q162-S162)*24)</f>
        <v>48</v>
      </c>
      <c r="U162" s="21" t="n">
        <f aca="false">IF($A162="","",IF(N(O162)&gt;0,N(U161)+1,0))</f>
        <v>1</v>
      </c>
      <c r="V162" s="21" t="n">
        <f aca="false">IF($A162="","",IF(N(P162)&gt;0,N(V161)+1,0))</f>
        <v>0</v>
      </c>
      <c r="W162" s="21" t="str">
        <f aca="false">IF($A162="","",IF(WEEKDAY($A162,2)&lt;&gt;7,"",IF(AND(OR(Q162="",N(Q162)&gt;=$A162+16/24,N(R162)&lt;=$A162+6/24),OR(S162="",N(S162)&lt;=$A162+6/24)),1,0)))</f>
        <v/>
      </c>
      <c r="X162" s="26" t="str">
        <f aca="false">IF($A162="","",IF(INDEX(Muster!$C$8:$BF$8,1,MOD($A162-Einstellungen!$C$6,Einstellungen!$C$7)+1)="","-",INDEX(Muster!$C$8:$BF$8,1,MOD($A162-Einstellungen!$C$6,Einstellungen!$C$7)+1)))</f>
        <v>-</v>
      </c>
      <c r="Y162" s="27" t="n">
        <f aca="false">IF($A162="","",IFERROR(VLOOKUP(X162,Schichten!$A$5:$G$24,6,FALSE()),0))</f>
        <v>0</v>
      </c>
      <c r="Z162" s="27" t="n">
        <f aca="false">IF($A162="","",IFERROR(VLOOKUP(X162,Schichten!$A$5:$G$24,7,FALSE()),0))</f>
        <v>0</v>
      </c>
      <c r="AA162" s="28" t="str">
        <f aca="false">IF($A162="","",IF(N(Y162)=0,"",$A162+VLOOKUP(X162,Schichten!$A$5:$G$24,3,FALSE())))</f>
        <v/>
      </c>
      <c r="AB162" s="28" t="str">
        <f aca="false">IF(AA162="","",$A162+VLOOKUP(X162,Schichten!$A$5:$G$24,4,FALSE())+IF(VLOOKUP(X162,Schichten!$A$5:$G$24,4,FALSE())&lt;=VLOOKUP(X162,Schichten!$A$5:$G$24,3,FALSE()),1,0))</f>
        <v/>
      </c>
      <c r="AC162" s="28" t="n">
        <f aca="false">IF($A162="","",IF(N(Y161)&gt;0,AB161,AC161))</f>
        <v>46545.25</v>
      </c>
      <c r="AD162" s="27" t="str">
        <f aca="false">IF(OR(AA162="",AC162=""),"",(AA162-AC162)*24)</f>
        <v/>
      </c>
      <c r="AE162" s="21" t="n">
        <f aca="false">IF($A162="","",IF(N(Y162)&gt;0,N(AE161)+1,0))</f>
        <v>0</v>
      </c>
      <c r="AF162" s="21" t="n">
        <f aca="false">IF($A162="","",IF(N(Z162)&gt;0,N(AF161)+1,0))</f>
        <v>0</v>
      </c>
      <c r="AG162" s="21" t="str">
        <f aca="false">IF($A162="","",IF(WEEKDAY($A162,2)&lt;&gt;7,"",IF(AND(OR(AA162="",N(AA162)&gt;=$A162+16/24,N(AB162)&lt;=$A162+6/24),OR(AC162="",N(AC162)&lt;=$A162+6/24)),1,0)))</f>
        <v/>
      </c>
      <c r="AH162" s="26" t="str">
        <f aca="false">IF($A162="","",IF(INDEX(Muster!$C$9:$BF$9,1,MOD($A162-Einstellungen!$C$6,Einstellungen!$C$7)+1)="","-",INDEX(Muster!$C$9:$BF$9,1,MOD($A162-Einstellungen!$C$6,Einstellungen!$C$7)+1)))</f>
        <v>N</v>
      </c>
      <c r="AI162" s="27" t="n">
        <f aca="false">IF($A162="","",IFERROR(VLOOKUP(AH162,Schichten!$A$5:$G$24,6,FALSE()),0))</f>
        <v>8</v>
      </c>
      <c r="AJ162" s="27" t="n">
        <f aca="false">IF($A162="","",IFERROR(VLOOKUP(AH162,Schichten!$A$5:$G$24,7,FALSE()),0))</f>
        <v>7</v>
      </c>
      <c r="AK162" s="28" t="n">
        <f aca="false">IF($A162="","",IF(N(AI162)=0,"",$A162+VLOOKUP(AH162,Schichten!$A$5:$G$24,3,FALSE())))</f>
        <v>46545.9166666667</v>
      </c>
      <c r="AL162" s="28" t="n">
        <f aca="false">IF(AK162="","",$A162+VLOOKUP(AH162,Schichten!$A$5:$G$24,4,FALSE())+IF(VLOOKUP(AH162,Schichten!$A$5:$G$24,4,FALSE())&lt;=VLOOKUP(AH162,Schichten!$A$5:$G$24,3,FALSE()),1,0))</f>
        <v>46546.25</v>
      </c>
      <c r="AM162" s="28" t="n">
        <f aca="false">IF($A162="","",IF(N(AI161)&gt;0,AL161,AM161))</f>
        <v>46544.9166666667</v>
      </c>
      <c r="AN162" s="27" t="n">
        <f aca="false">IF(OR(AK162="",AM162=""),"",(AK162-AM162)*24)</f>
        <v>24</v>
      </c>
      <c r="AO162" s="21" t="n">
        <f aca="false">IF($A162="","",IF(N(AI162)&gt;0,N(AO161)+1,0))</f>
        <v>5</v>
      </c>
      <c r="AP162" s="21" t="n">
        <f aca="false">IF($A162="","",IF(N(AJ162)&gt;0,N(AP161)+1,0))</f>
        <v>1</v>
      </c>
      <c r="AQ162" s="21" t="str">
        <f aca="false">IF($A162="","",IF(WEEKDAY($A162,2)&lt;&gt;7,"",IF(AND(OR(AK162="",N(AK162)&gt;=$A162+16/24,N(AL162)&lt;=$A162+6/24),OR(AM162="",N(AM162)&lt;=$A162+6/24)),1,0)))</f>
        <v/>
      </c>
      <c r="AR162" s="26" t="str">
        <f aca="false">IF($A162="","",IF(INDEX(Muster!$C$10:$BF$10,1,MOD($A162-Einstellungen!$C$6,Einstellungen!$C$7)+1)="","-",INDEX(Muster!$C$10:$BF$10,1,MOD($A162-Einstellungen!$C$6,Einstellungen!$C$7)+1)))</f>
        <v>-</v>
      </c>
      <c r="AS162" s="27" t="n">
        <f aca="false">IF($A162="","",IFERROR(VLOOKUP(AR162,Schichten!$A$5:$G$24,6,FALSE()),0))</f>
        <v>0</v>
      </c>
      <c r="AT162" s="27" t="n">
        <f aca="false">IF($A162="","",IFERROR(VLOOKUP(AR162,Schichten!$A$5:$G$24,7,FALSE()),0))</f>
        <v>0</v>
      </c>
      <c r="AU162" s="28" t="str">
        <f aca="false">IF($A162="","",IF(N(AS162)=0,"",$A162+VLOOKUP(AR162,Schichten!$A$5:$G$24,3,FALSE())))</f>
        <v/>
      </c>
      <c r="AV162" s="28" t="str">
        <f aca="false">IF(AU162="","",$A162+VLOOKUP(AR162,Schichten!$A$5:$G$24,4,FALSE())+IF(VLOOKUP(AR162,Schichten!$A$5:$G$24,4,FALSE())&lt;=VLOOKUP(AR162,Schichten!$A$5:$G$24,3,FALSE()),1,0))</f>
        <v/>
      </c>
      <c r="AW162" s="28" t="str">
        <f aca="false">IF($A162="","",IF(N(AS161)&gt;0,AV161,AW161))</f>
        <v/>
      </c>
      <c r="AX162" s="27" t="str">
        <f aca="false">IF(OR(AU162="",AW162=""),"",(AU162-AW162)*24)</f>
        <v/>
      </c>
      <c r="AY162" s="21" t="n">
        <f aca="false">IF($A162="","",IF(N(AS162)&gt;0,N(AY161)+1,0))</f>
        <v>0</v>
      </c>
      <c r="AZ162" s="21" t="n">
        <f aca="false">IF($A162="","",IF(N(AT162)&gt;0,N(AZ161)+1,0))</f>
        <v>0</v>
      </c>
      <c r="BA162" s="21" t="str">
        <f aca="false">IF($A162="","",IF(WEEKDAY($A162,2)&lt;&gt;7,"",IF(AND(OR(AU162="",N(AU162)&gt;=$A162+16/24,N(AV162)&lt;=$A162+6/24),OR(AW162="",N(AW162)&lt;=$A162+6/24)),1,0)))</f>
        <v/>
      </c>
    </row>
    <row r="163" customFormat="false" ht="15" hidden="false" customHeight="false" outlineLevel="0" collapsed="false">
      <c r="A163" s="25" t="n">
        <f aca="false">IF(YEAR(DATE(Einstellungen!$C$4,1,1)+158)=Einstellungen!$C$4,DATE(Einstellungen!$C$4,1,1)+158,"")</f>
        <v>46546</v>
      </c>
      <c r="B163" s="26" t="str">
        <f aca="false">IF($A163="","",CHOOSE(WEEKDAY($A163,2),"Mo","Di","Mi","Do","Fr","Sa","So"))</f>
        <v>Di</v>
      </c>
      <c r="C163" s="26" t="n">
        <f aca="false">IF($A163="","",MONTH($A163))</f>
        <v>6</v>
      </c>
      <c r="D163" s="26" t="str">
        <f aca="false">IF($A163="","",IF(INDEX(Muster!$C$6:$BF$6,1,MOD($A163-Einstellungen!$C$6,Einstellungen!$C$7)+1)="","-",INDEX(Muster!$C$6:$BF$6,1,MOD($A163-Einstellungen!$C$6,Einstellungen!$C$7)+1)))</f>
        <v>S</v>
      </c>
      <c r="E163" s="27" t="n">
        <f aca="false">IF($A163="","",IFERROR(VLOOKUP(D163,Schichten!$A$5:$G$24,6,FALSE()),0))</f>
        <v>8</v>
      </c>
      <c r="F163" s="27" t="n">
        <f aca="false">IF($A163="","",IFERROR(VLOOKUP(D163,Schichten!$A$5:$G$24,7,FALSE()),0))</f>
        <v>0</v>
      </c>
      <c r="G163" s="28" t="n">
        <f aca="false">IF($A163="","",IF(N(E163)=0,"",$A163+VLOOKUP(D163,Schichten!$A$5:$G$24,3,FALSE())))</f>
        <v>46546.5833333333</v>
      </c>
      <c r="H163" s="28" t="n">
        <f aca="false">IF(G163="","",$A163+VLOOKUP(D163,Schichten!$A$5:$G$24,4,FALSE())+IF(VLOOKUP(D163,Schichten!$A$5:$G$24,4,FALSE())&lt;=VLOOKUP(D163,Schichten!$A$5:$G$24,3,FALSE()),1,0))</f>
        <v>46546.9166666667</v>
      </c>
      <c r="I163" s="28" t="n">
        <f aca="false">IF($A163="","",IF(N(E162)&gt;0,H162,I162))</f>
        <v>46545.9166666667</v>
      </c>
      <c r="J163" s="27" t="n">
        <f aca="false">IF(OR(G163="",I163=""),"",(G163-I163)*24)</f>
        <v>16</v>
      </c>
      <c r="K163" s="21" t="n">
        <f aca="false">IF($A163="","",IF(N(E163)&gt;0,N(K162)+1,0))</f>
        <v>4</v>
      </c>
      <c r="L163" s="21" t="n">
        <f aca="false">IF($A163="","",IF(N(F163)&gt;0,N(L162)+1,0))</f>
        <v>0</v>
      </c>
      <c r="M163" s="21" t="str">
        <f aca="false">IF($A163="","",IF(WEEKDAY($A163,2)&lt;&gt;7,"",IF(AND(OR(G163="",N(G163)&gt;=$A163+16/24,N(H163)&lt;=$A163+6/24),OR(I163="",N(I163)&lt;=$A163+6/24)),1,0)))</f>
        <v/>
      </c>
      <c r="N163" s="26" t="str">
        <f aca="false">IF($A163="","",IF(INDEX(Muster!$C$7:$BF$7,1,MOD($A163-Einstellungen!$C$6,Einstellungen!$C$7)+1)="","-",INDEX(Muster!$C$7:$BF$7,1,MOD($A163-Einstellungen!$C$6,Einstellungen!$C$7)+1)))</f>
        <v>F</v>
      </c>
      <c r="O163" s="27" t="n">
        <f aca="false">IF($A163="","",IFERROR(VLOOKUP(N163,Schichten!$A$5:$G$24,6,FALSE()),0))</f>
        <v>8</v>
      </c>
      <c r="P163" s="27" t="n">
        <f aca="false">IF($A163="","",IFERROR(VLOOKUP(N163,Schichten!$A$5:$G$24,7,FALSE()),0))</f>
        <v>0</v>
      </c>
      <c r="Q163" s="28" t="n">
        <f aca="false">IF($A163="","",IF(N(O163)=0,"",$A163+VLOOKUP(N163,Schichten!$A$5:$G$24,3,FALSE())))</f>
        <v>46546.25</v>
      </c>
      <c r="R163" s="28" t="n">
        <f aca="false">IF(Q163="","",$A163+VLOOKUP(N163,Schichten!$A$5:$G$24,4,FALSE())+IF(VLOOKUP(N163,Schichten!$A$5:$G$24,4,FALSE())&lt;=VLOOKUP(N163,Schichten!$A$5:$G$24,3,FALSE()),1,0))</f>
        <v>46546.5833333333</v>
      </c>
      <c r="S163" s="28" t="n">
        <f aca="false">IF($A163="","",IF(N(O162)&gt;0,R162,S162))</f>
        <v>46545.5833333333</v>
      </c>
      <c r="T163" s="27" t="n">
        <f aca="false">IF(OR(Q163="",S163=""),"",(Q163-S163)*24)</f>
        <v>16</v>
      </c>
      <c r="U163" s="21" t="n">
        <f aca="false">IF($A163="","",IF(N(O163)&gt;0,N(U162)+1,0))</f>
        <v>2</v>
      </c>
      <c r="V163" s="21" t="n">
        <f aca="false">IF($A163="","",IF(N(P163)&gt;0,N(V162)+1,0))</f>
        <v>0</v>
      </c>
      <c r="W163" s="21" t="str">
        <f aca="false">IF($A163="","",IF(WEEKDAY($A163,2)&lt;&gt;7,"",IF(AND(OR(Q163="",N(Q163)&gt;=$A163+16/24,N(R163)&lt;=$A163+6/24),OR(S163="",N(S163)&lt;=$A163+6/24)),1,0)))</f>
        <v/>
      </c>
      <c r="X163" s="26" t="str">
        <f aca="false">IF($A163="","",IF(INDEX(Muster!$C$8:$BF$8,1,MOD($A163-Einstellungen!$C$6,Einstellungen!$C$7)+1)="","-",INDEX(Muster!$C$8:$BF$8,1,MOD($A163-Einstellungen!$C$6,Einstellungen!$C$7)+1)))</f>
        <v>-</v>
      </c>
      <c r="Y163" s="27" t="n">
        <f aca="false">IF($A163="","",IFERROR(VLOOKUP(X163,Schichten!$A$5:$G$24,6,FALSE()),0))</f>
        <v>0</v>
      </c>
      <c r="Z163" s="27" t="n">
        <f aca="false">IF($A163="","",IFERROR(VLOOKUP(X163,Schichten!$A$5:$G$24,7,FALSE()),0))</f>
        <v>0</v>
      </c>
      <c r="AA163" s="28" t="str">
        <f aca="false">IF($A163="","",IF(N(Y163)=0,"",$A163+VLOOKUP(X163,Schichten!$A$5:$G$24,3,FALSE())))</f>
        <v/>
      </c>
      <c r="AB163" s="28" t="str">
        <f aca="false">IF(AA163="","",$A163+VLOOKUP(X163,Schichten!$A$5:$G$24,4,FALSE())+IF(VLOOKUP(X163,Schichten!$A$5:$G$24,4,FALSE())&lt;=VLOOKUP(X163,Schichten!$A$5:$G$24,3,FALSE()),1,0))</f>
        <v/>
      </c>
      <c r="AC163" s="28" t="n">
        <f aca="false">IF($A163="","",IF(N(Y162)&gt;0,AB162,AC162))</f>
        <v>46545.25</v>
      </c>
      <c r="AD163" s="27" t="str">
        <f aca="false">IF(OR(AA163="",AC163=""),"",(AA163-AC163)*24)</f>
        <v/>
      </c>
      <c r="AE163" s="21" t="n">
        <f aca="false">IF($A163="","",IF(N(Y163)&gt;0,N(AE162)+1,0))</f>
        <v>0</v>
      </c>
      <c r="AF163" s="21" t="n">
        <f aca="false">IF($A163="","",IF(N(Z163)&gt;0,N(AF162)+1,0))</f>
        <v>0</v>
      </c>
      <c r="AG163" s="21" t="str">
        <f aca="false">IF($A163="","",IF(WEEKDAY($A163,2)&lt;&gt;7,"",IF(AND(OR(AA163="",N(AA163)&gt;=$A163+16/24,N(AB163)&lt;=$A163+6/24),OR(AC163="",N(AC163)&lt;=$A163+6/24)),1,0)))</f>
        <v/>
      </c>
      <c r="AH163" s="26" t="str">
        <f aca="false">IF($A163="","",IF(INDEX(Muster!$C$9:$BF$9,1,MOD($A163-Einstellungen!$C$6,Einstellungen!$C$7)+1)="","-",INDEX(Muster!$C$9:$BF$9,1,MOD($A163-Einstellungen!$C$6,Einstellungen!$C$7)+1)))</f>
        <v>N</v>
      </c>
      <c r="AI163" s="27" t="n">
        <f aca="false">IF($A163="","",IFERROR(VLOOKUP(AH163,Schichten!$A$5:$G$24,6,FALSE()),0))</f>
        <v>8</v>
      </c>
      <c r="AJ163" s="27" t="n">
        <f aca="false">IF($A163="","",IFERROR(VLOOKUP(AH163,Schichten!$A$5:$G$24,7,FALSE()),0))</f>
        <v>7</v>
      </c>
      <c r="AK163" s="28" t="n">
        <f aca="false">IF($A163="","",IF(N(AI163)=0,"",$A163+VLOOKUP(AH163,Schichten!$A$5:$G$24,3,FALSE())))</f>
        <v>46546.9166666667</v>
      </c>
      <c r="AL163" s="28" t="n">
        <f aca="false">IF(AK163="","",$A163+VLOOKUP(AH163,Schichten!$A$5:$G$24,4,FALSE())+IF(VLOOKUP(AH163,Schichten!$A$5:$G$24,4,FALSE())&lt;=VLOOKUP(AH163,Schichten!$A$5:$G$24,3,FALSE()),1,0))</f>
        <v>46547.25</v>
      </c>
      <c r="AM163" s="28" t="n">
        <f aca="false">IF($A163="","",IF(N(AI162)&gt;0,AL162,AM162))</f>
        <v>46546.25</v>
      </c>
      <c r="AN163" s="27" t="n">
        <f aca="false">IF(OR(AK163="",AM163=""),"",(AK163-AM163)*24)</f>
        <v>16</v>
      </c>
      <c r="AO163" s="21" t="n">
        <f aca="false">IF($A163="","",IF(N(AI163)&gt;0,N(AO162)+1,0))</f>
        <v>6</v>
      </c>
      <c r="AP163" s="21" t="n">
        <f aca="false">IF($A163="","",IF(N(AJ163)&gt;0,N(AP162)+1,0))</f>
        <v>2</v>
      </c>
      <c r="AQ163" s="21" t="str">
        <f aca="false">IF($A163="","",IF(WEEKDAY($A163,2)&lt;&gt;7,"",IF(AND(OR(AK163="",N(AK163)&gt;=$A163+16/24,N(AL163)&lt;=$A163+6/24),OR(AM163="",N(AM163)&lt;=$A163+6/24)),1,0)))</f>
        <v/>
      </c>
      <c r="AR163" s="26" t="str">
        <f aca="false">IF($A163="","",IF(INDEX(Muster!$C$10:$BF$10,1,MOD($A163-Einstellungen!$C$6,Einstellungen!$C$7)+1)="","-",INDEX(Muster!$C$10:$BF$10,1,MOD($A163-Einstellungen!$C$6,Einstellungen!$C$7)+1)))</f>
        <v>-</v>
      </c>
      <c r="AS163" s="27" t="n">
        <f aca="false">IF($A163="","",IFERROR(VLOOKUP(AR163,Schichten!$A$5:$G$24,6,FALSE()),0))</f>
        <v>0</v>
      </c>
      <c r="AT163" s="27" t="n">
        <f aca="false">IF($A163="","",IFERROR(VLOOKUP(AR163,Schichten!$A$5:$G$24,7,FALSE()),0))</f>
        <v>0</v>
      </c>
      <c r="AU163" s="28" t="str">
        <f aca="false">IF($A163="","",IF(N(AS163)=0,"",$A163+VLOOKUP(AR163,Schichten!$A$5:$G$24,3,FALSE())))</f>
        <v/>
      </c>
      <c r="AV163" s="28" t="str">
        <f aca="false">IF(AU163="","",$A163+VLOOKUP(AR163,Schichten!$A$5:$G$24,4,FALSE())+IF(VLOOKUP(AR163,Schichten!$A$5:$G$24,4,FALSE())&lt;=VLOOKUP(AR163,Schichten!$A$5:$G$24,3,FALSE()),1,0))</f>
        <v/>
      </c>
      <c r="AW163" s="28" t="str">
        <f aca="false">IF($A163="","",IF(N(AS162)&gt;0,AV162,AW162))</f>
        <v/>
      </c>
      <c r="AX163" s="27" t="str">
        <f aca="false">IF(OR(AU163="",AW163=""),"",(AU163-AW163)*24)</f>
        <v/>
      </c>
      <c r="AY163" s="21" t="n">
        <f aca="false">IF($A163="","",IF(N(AS163)&gt;0,N(AY162)+1,0))</f>
        <v>0</v>
      </c>
      <c r="AZ163" s="21" t="n">
        <f aca="false">IF($A163="","",IF(N(AT163)&gt;0,N(AZ162)+1,0))</f>
        <v>0</v>
      </c>
      <c r="BA163" s="21" t="str">
        <f aca="false">IF($A163="","",IF(WEEKDAY($A163,2)&lt;&gt;7,"",IF(AND(OR(AU163="",N(AU163)&gt;=$A163+16/24,N(AV163)&lt;=$A163+6/24),OR(AW163="",N(AW163)&lt;=$A163+6/24)),1,0)))</f>
        <v/>
      </c>
    </row>
    <row r="164" customFormat="false" ht="15" hidden="false" customHeight="false" outlineLevel="0" collapsed="false">
      <c r="A164" s="25" t="n">
        <f aca="false">IF(YEAR(DATE(Einstellungen!$C$4,1,1)+159)=Einstellungen!$C$4,DATE(Einstellungen!$C$4,1,1)+159,"")</f>
        <v>46547</v>
      </c>
      <c r="B164" s="26" t="str">
        <f aca="false">IF($A164="","",CHOOSE(WEEKDAY($A164,2),"Mo","Di","Mi","Do","Fr","Sa","So"))</f>
        <v>Mi</v>
      </c>
      <c r="C164" s="26" t="n">
        <f aca="false">IF($A164="","",MONTH($A164))</f>
        <v>6</v>
      </c>
      <c r="D164" s="26" t="str">
        <f aca="false">IF($A164="","",IF(INDEX(Muster!$C$6:$BF$6,1,MOD($A164-Einstellungen!$C$6,Einstellungen!$C$7)+1)="","-",INDEX(Muster!$C$6:$BF$6,1,MOD($A164-Einstellungen!$C$6,Einstellungen!$C$7)+1)))</f>
        <v>N</v>
      </c>
      <c r="E164" s="27" t="n">
        <f aca="false">IF($A164="","",IFERROR(VLOOKUP(D164,Schichten!$A$5:$G$24,6,FALSE()),0))</f>
        <v>8</v>
      </c>
      <c r="F164" s="27" t="n">
        <f aca="false">IF($A164="","",IFERROR(VLOOKUP(D164,Schichten!$A$5:$G$24,7,FALSE()),0))</f>
        <v>7</v>
      </c>
      <c r="G164" s="28" t="n">
        <f aca="false">IF($A164="","",IF(N(E164)=0,"",$A164+VLOOKUP(D164,Schichten!$A$5:$G$24,3,FALSE())))</f>
        <v>46547.9166666667</v>
      </c>
      <c r="H164" s="28" t="n">
        <f aca="false">IF(G164="","",$A164+VLOOKUP(D164,Schichten!$A$5:$G$24,4,FALSE())+IF(VLOOKUP(D164,Schichten!$A$5:$G$24,4,FALSE())&lt;=VLOOKUP(D164,Schichten!$A$5:$G$24,3,FALSE()),1,0))</f>
        <v>46548.25</v>
      </c>
      <c r="I164" s="28" t="n">
        <f aca="false">IF($A164="","",IF(N(E163)&gt;0,H163,I163))</f>
        <v>46546.9166666667</v>
      </c>
      <c r="J164" s="27" t="n">
        <f aca="false">IF(OR(G164="",I164=""),"",(G164-I164)*24)</f>
        <v>24</v>
      </c>
      <c r="K164" s="21" t="n">
        <f aca="false">IF($A164="","",IF(N(E164)&gt;0,N(K163)+1,0))</f>
        <v>5</v>
      </c>
      <c r="L164" s="21" t="n">
        <f aca="false">IF($A164="","",IF(N(F164)&gt;0,N(L163)+1,0))</f>
        <v>1</v>
      </c>
      <c r="M164" s="21" t="str">
        <f aca="false">IF($A164="","",IF(WEEKDAY($A164,2)&lt;&gt;7,"",IF(AND(OR(G164="",N(G164)&gt;=$A164+16/24,N(H164)&lt;=$A164+6/24),OR(I164="",N(I164)&lt;=$A164+6/24)),1,0)))</f>
        <v/>
      </c>
      <c r="N164" s="26" t="str">
        <f aca="false">IF($A164="","",IF(INDEX(Muster!$C$7:$BF$7,1,MOD($A164-Einstellungen!$C$6,Einstellungen!$C$7)+1)="","-",INDEX(Muster!$C$7:$BF$7,1,MOD($A164-Einstellungen!$C$6,Einstellungen!$C$7)+1)))</f>
        <v>S</v>
      </c>
      <c r="O164" s="27" t="n">
        <f aca="false">IF($A164="","",IFERROR(VLOOKUP(N164,Schichten!$A$5:$G$24,6,FALSE()),0))</f>
        <v>8</v>
      </c>
      <c r="P164" s="27" t="n">
        <f aca="false">IF($A164="","",IFERROR(VLOOKUP(N164,Schichten!$A$5:$G$24,7,FALSE()),0))</f>
        <v>0</v>
      </c>
      <c r="Q164" s="28" t="n">
        <f aca="false">IF($A164="","",IF(N(O164)=0,"",$A164+VLOOKUP(N164,Schichten!$A$5:$G$24,3,FALSE())))</f>
        <v>46547.5833333333</v>
      </c>
      <c r="R164" s="28" t="n">
        <f aca="false">IF(Q164="","",$A164+VLOOKUP(N164,Schichten!$A$5:$G$24,4,FALSE())+IF(VLOOKUP(N164,Schichten!$A$5:$G$24,4,FALSE())&lt;=VLOOKUP(N164,Schichten!$A$5:$G$24,3,FALSE()),1,0))</f>
        <v>46547.9166666667</v>
      </c>
      <c r="S164" s="28" t="n">
        <f aca="false">IF($A164="","",IF(N(O163)&gt;0,R163,S163))</f>
        <v>46546.5833333333</v>
      </c>
      <c r="T164" s="27" t="n">
        <f aca="false">IF(OR(Q164="",S164=""),"",(Q164-S164)*24)</f>
        <v>24</v>
      </c>
      <c r="U164" s="21" t="n">
        <f aca="false">IF($A164="","",IF(N(O164)&gt;0,N(U163)+1,0))</f>
        <v>3</v>
      </c>
      <c r="V164" s="21" t="n">
        <f aca="false">IF($A164="","",IF(N(P164)&gt;0,N(V163)+1,0))</f>
        <v>0</v>
      </c>
      <c r="W164" s="21" t="str">
        <f aca="false">IF($A164="","",IF(WEEKDAY($A164,2)&lt;&gt;7,"",IF(AND(OR(Q164="",N(Q164)&gt;=$A164+16/24,N(R164)&lt;=$A164+6/24),OR(S164="",N(S164)&lt;=$A164+6/24)),1,0)))</f>
        <v/>
      </c>
      <c r="X164" s="26" t="str">
        <f aca="false">IF($A164="","",IF(INDEX(Muster!$C$8:$BF$8,1,MOD($A164-Einstellungen!$C$6,Einstellungen!$C$7)+1)="","-",INDEX(Muster!$C$8:$BF$8,1,MOD($A164-Einstellungen!$C$6,Einstellungen!$C$7)+1)))</f>
        <v>F</v>
      </c>
      <c r="Y164" s="27" t="n">
        <f aca="false">IF($A164="","",IFERROR(VLOOKUP(X164,Schichten!$A$5:$G$24,6,FALSE()),0))</f>
        <v>8</v>
      </c>
      <c r="Z164" s="27" t="n">
        <f aca="false">IF($A164="","",IFERROR(VLOOKUP(X164,Schichten!$A$5:$G$24,7,FALSE()),0))</f>
        <v>0</v>
      </c>
      <c r="AA164" s="28" t="n">
        <f aca="false">IF($A164="","",IF(N(Y164)=0,"",$A164+VLOOKUP(X164,Schichten!$A$5:$G$24,3,FALSE())))</f>
        <v>46547.25</v>
      </c>
      <c r="AB164" s="28" t="n">
        <f aca="false">IF(AA164="","",$A164+VLOOKUP(X164,Schichten!$A$5:$G$24,4,FALSE())+IF(VLOOKUP(X164,Schichten!$A$5:$G$24,4,FALSE())&lt;=VLOOKUP(X164,Schichten!$A$5:$G$24,3,FALSE()),1,0))</f>
        <v>46547.5833333333</v>
      </c>
      <c r="AC164" s="28" t="n">
        <f aca="false">IF($A164="","",IF(N(Y163)&gt;0,AB163,AC163))</f>
        <v>46545.25</v>
      </c>
      <c r="AD164" s="27" t="n">
        <f aca="false">IF(OR(AA164="",AC164=""),"",(AA164-AC164)*24)</f>
        <v>48</v>
      </c>
      <c r="AE164" s="21" t="n">
        <f aca="false">IF($A164="","",IF(N(Y164)&gt;0,N(AE163)+1,0))</f>
        <v>1</v>
      </c>
      <c r="AF164" s="21" t="n">
        <f aca="false">IF($A164="","",IF(N(Z164)&gt;0,N(AF163)+1,0))</f>
        <v>0</v>
      </c>
      <c r="AG164" s="21" t="str">
        <f aca="false">IF($A164="","",IF(WEEKDAY($A164,2)&lt;&gt;7,"",IF(AND(OR(AA164="",N(AA164)&gt;=$A164+16/24,N(AB164)&lt;=$A164+6/24),OR(AC164="",N(AC164)&lt;=$A164+6/24)),1,0)))</f>
        <v/>
      </c>
      <c r="AH164" s="26" t="str">
        <f aca="false">IF($A164="","",IF(INDEX(Muster!$C$9:$BF$9,1,MOD($A164-Einstellungen!$C$6,Einstellungen!$C$7)+1)="","-",INDEX(Muster!$C$9:$BF$9,1,MOD($A164-Einstellungen!$C$6,Einstellungen!$C$7)+1)))</f>
        <v>-</v>
      </c>
      <c r="AI164" s="27" t="n">
        <f aca="false">IF($A164="","",IFERROR(VLOOKUP(AH164,Schichten!$A$5:$G$24,6,FALSE()),0))</f>
        <v>0</v>
      </c>
      <c r="AJ164" s="27" t="n">
        <f aca="false">IF($A164="","",IFERROR(VLOOKUP(AH164,Schichten!$A$5:$G$24,7,FALSE()),0))</f>
        <v>0</v>
      </c>
      <c r="AK164" s="28" t="str">
        <f aca="false">IF($A164="","",IF(N(AI164)=0,"",$A164+VLOOKUP(AH164,Schichten!$A$5:$G$24,3,FALSE())))</f>
        <v/>
      </c>
      <c r="AL164" s="28" t="str">
        <f aca="false">IF(AK164="","",$A164+VLOOKUP(AH164,Schichten!$A$5:$G$24,4,FALSE())+IF(VLOOKUP(AH164,Schichten!$A$5:$G$24,4,FALSE())&lt;=VLOOKUP(AH164,Schichten!$A$5:$G$24,3,FALSE()),1,0))</f>
        <v/>
      </c>
      <c r="AM164" s="28" t="n">
        <f aca="false">IF($A164="","",IF(N(AI163)&gt;0,AL163,AM163))</f>
        <v>46547.25</v>
      </c>
      <c r="AN164" s="27" t="str">
        <f aca="false">IF(OR(AK164="",AM164=""),"",(AK164-AM164)*24)</f>
        <v/>
      </c>
      <c r="AO164" s="21" t="n">
        <f aca="false">IF($A164="","",IF(N(AI164)&gt;0,N(AO163)+1,0))</f>
        <v>0</v>
      </c>
      <c r="AP164" s="21" t="n">
        <f aca="false">IF($A164="","",IF(N(AJ164)&gt;0,N(AP163)+1,0))</f>
        <v>0</v>
      </c>
      <c r="AQ164" s="21" t="str">
        <f aca="false">IF($A164="","",IF(WEEKDAY($A164,2)&lt;&gt;7,"",IF(AND(OR(AK164="",N(AK164)&gt;=$A164+16/24,N(AL164)&lt;=$A164+6/24),OR(AM164="",N(AM164)&lt;=$A164+6/24)),1,0)))</f>
        <v/>
      </c>
      <c r="AR164" s="26" t="str">
        <f aca="false">IF($A164="","",IF(INDEX(Muster!$C$10:$BF$10,1,MOD($A164-Einstellungen!$C$6,Einstellungen!$C$7)+1)="","-",INDEX(Muster!$C$10:$BF$10,1,MOD($A164-Einstellungen!$C$6,Einstellungen!$C$7)+1)))</f>
        <v>-</v>
      </c>
      <c r="AS164" s="27" t="n">
        <f aca="false">IF($A164="","",IFERROR(VLOOKUP(AR164,Schichten!$A$5:$G$24,6,FALSE()),0))</f>
        <v>0</v>
      </c>
      <c r="AT164" s="27" t="n">
        <f aca="false">IF($A164="","",IFERROR(VLOOKUP(AR164,Schichten!$A$5:$G$24,7,FALSE()),0))</f>
        <v>0</v>
      </c>
      <c r="AU164" s="28" t="str">
        <f aca="false">IF($A164="","",IF(N(AS164)=0,"",$A164+VLOOKUP(AR164,Schichten!$A$5:$G$24,3,FALSE())))</f>
        <v/>
      </c>
      <c r="AV164" s="28" t="str">
        <f aca="false">IF(AU164="","",$A164+VLOOKUP(AR164,Schichten!$A$5:$G$24,4,FALSE())+IF(VLOOKUP(AR164,Schichten!$A$5:$G$24,4,FALSE())&lt;=VLOOKUP(AR164,Schichten!$A$5:$G$24,3,FALSE()),1,0))</f>
        <v/>
      </c>
      <c r="AW164" s="28" t="str">
        <f aca="false">IF($A164="","",IF(N(AS163)&gt;0,AV163,AW163))</f>
        <v/>
      </c>
      <c r="AX164" s="27" t="str">
        <f aca="false">IF(OR(AU164="",AW164=""),"",(AU164-AW164)*24)</f>
        <v/>
      </c>
      <c r="AY164" s="21" t="n">
        <f aca="false">IF($A164="","",IF(N(AS164)&gt;0,N(AY163)+1,0))</f>
        <v>0</v>
      </c>
      <c r="AZ164" s="21" t="n">
        <f aca="false">IF($A164="","",IF(N(AT164)&gt;0,N(AZ163)+1,0))</f>
        <v>0</v>
      </c>
      <c r="BA164" s="21" t="str">
        <f aca="false">IF($A164="","",IF(WEEKDAY($A164,2)&lt;&gt;7,"",IF(AND(OR(AU164="",N(AU164)&gt;=$A164+16/24,N(AV164)&lt;=$A164+6/24),OR(AW164="",N(AW164)&lt;=$A164+6/24)),1,0)))</f>
        <v/>
      </c>
    </row>
    <row r="165" customFormat="false" ht="15" hidden="false" customHeight="false" outlineLevel="0" collapsed="false">
      <c r="A165" s="25" t="n">
        <f aca="false">IF(YEAR(DATE(Einstellungen!$C$4,1,1)+160)=Einstellungen!$C$4,DATE(Einstellungen!$C$4,1,1)+160,"")</f>
        <v>46548</v>
      </c>
      <c r="B165" s="26" t="str">
        <f aca="false">IF($A165="","",CHOOSE(WEEKDAY($A165,2),"Mo","Di","Mi","Do","Fr","Sa","So"))</f>
        <v>Do</v>
      </c>
      <c r="C165" s="26" t="n">
        <f aca="false">IF($A165="","",MONTH($A165))</f>
        <v>6</v>
      </c>
      <c r="D165" s="26" t="str">
        <f aca="false">IF($A165="","",IF(INDEX(Muster!$C$6:$BF$6,1,MOD($A165-Einstellungen!$C$6,Einstellungen!$C$7)+1)="","-",INDEX(Muster!$C$6:$BF$6,1,MOD($A165-Einstellungen!$C$6,Einstellungen!$C$7)+1)))</f>
        <v>N</v>
      </c>
      <c r="E165" s="27" t="n">
        <f aca="false">IF($A165="","",IFERROR(VLOOKUP(D165,Schichten!$A$5:$G$24,6,FALSE()),0))</f>
        <v>8</v>
      </c>
      <c r="F165" s="27" t="n">
        <f aca="false">IF($A165="","",IFERROR(VLOOKUP(D165,Schichten!$A$5:$G$24,7,FALSE()),0))</f>
        <v>7</v>
      </c>
      <c r="G165" s="28" t="n">
        <f aca="false">IF($A165="","",IF(N(E165)=0,"",$A165+VLOOKUP(D165,Schichten!$A$5:$G$24,3,FALSE())))</f>
        <v>46548.9166666667</v>
      </c>
      <c r="H165" s="28" t="n">
        <f aca="false">IF(G165="","",$A165+VLOOKUP(D165,Schichten!$A$5:$G$24,4,FALSE())+IF(VLOOKUP(D165,Schichten!$A$5:$G$24,4,FALSE())&lt;=VLOOKUP(D165,Schichten!$A$5:$G$24,3,FALSE()),1,0))</f>
        <v>46549.25</v>
      </c>
      <c r="I165" s="28" t="n">
        <f aca="false">IF($A165="","",IF(N(E164)&gt;0,H164,I164))</f>
        <v>46548.25</v>
      </c>
      <c r="J165" s="27" t="n">
        <f aca="false">IF(OR(G165="",I165=""),"",(G165-I165)*24)</f>
        <v>16</v>
      </c>
      <c r="K165" s="21" t="n">
        <f aca="false">IF($A165="","",IF(N(E165)&gt;0,N(K164)+1,0))</f>
        <v>6</v>
      </c>
      <c r="L165" s="21" t="n">
        <f aca="false">IF($A165="","",IF(N(F165)&gt;0,N(L164)+1,0))</f>
        <v>2</v>
      </c>
      <c r="M165" s="21" t="str">
        <f aca="false">IF($A165="","",IF(WEEKDAY($A165,2)&lt;&gt;7,"",IF(AND(OR(G165="",N(G165)&gt;=$A165+16/24,N(H165)&lt;=$A165+6/24),OR(I165="",N(I165)&lt;=$A165+6/24)),1,0)))</f>
        <v/>
      </c>
      <c r="N165" s="26" t="str">
        <f aca="false">IF($A165="","",IF(INDEX(Muster!$C$7:$BF$7,1,MOD($A165-Einstellungen!$C$6,Einstellungen!$C$7)+1)="","-",INDEX(Muster!$C$7:$BF$7,1,MOD($A165-Einstellungen!$C$6,Einstellungen!$C$7)+1)))</f>
        <v>S</v>
      </c>
      <c r="O165" s="27" t="n">
        <f aca="false">IF($A165="","",IFERROR(VLOOKUP(N165,Schichten!$A$5:$G$24,6,FALSE()),0))</f>
        <v>8</v>
      </c>
      <c r="P165" s="27" t="n">
        <f aca="false">IF($A165="","",IFERROR(VLOOKUP(N165,Schichten!$A$5:$G$24,7,FALSE()),0))</f>
        <v>0</v>
      </c>
      <c r="Q165" s="28" t="n">
        <f aca="false">IF($A165="","",IF(N(O165)=0,"",$A165+VLOOKUP(N165,Schichten!$A$5:$G$24,3,FALSE())))</f>
        <v>46548.5833333333</v>
      </c>
      <c r="R165" s="28" t="n">
        <f aca="false">IF(Q165="","",$A165+VLOOKUP(N165,Schichten!$A$5:$G$24,4,FALSE())+IF(VLOOKUP(N165,Schichten!$A$5:$G$24,4,FALSE())&lt;=VLOOKUP(N165,Schichten!$A$5:$G$24,3,FALSE()),1,0))</f>
        <v>46548.9166666667</v>
      </c>
      <c r="S165" s="28" t="n">
        <f aca="false">IF($A165="","",IF(N(O164)&gt;0,R164,S164))</f>
        <v>46547.9166666667</v>
      </c>
      <c r="T165" s="27" t="n">
        <f aca="false">IF(OR(Q165="",S165=""),"",(Q165-S165)*24)</f>
        <v>16</v>
      </c>
      <c r="U165" s="21" t="n">
        <f aca="false">IF($A165="","",IF(N(O165)&gt;0,N(U164)+1,0))</f>
        <v>4</v>
      </c>
      <c r="V165" s="21" t="n">
        <f aca="false">IF($A165="","",IF(N(P165)&gt;0,N(V164)+1,0))</f>
        <v>0</v>
      </c>
      <c r="W165" s="21" t="str">
        <f aca="false">IF($A165="","",IF(WEEKDAY($A165,2)&lt;&gt;7,"",IF(AND(OR(Q165="",N(Q165)&gt;=$A165+16/24,N(R165)&lt;=$A165+6/24),OR(S165="",N(S165)&lt;=$A165+6/24)),1,0)))</f>
        <v/>
      </c>
      <c r="X165" s="26" t="str">
        <f aca="false">IF($A165="","",IF(INDEX(Muster!$C$8:$BF$8,1,MOD($A165-Einstellungen!$C$6,Einstellungen!$C$7)+1)="","-",INDEX(Muster!$C$8:$BF$8,1,MOD($A165-Einstellungen!$C$6,Einstellungen!$C$7)+1)))</f>
        <v>F</v>
      </c>
      <c r="Y165" s="27" t="n">
        <f aca="false">IF($A165="","",IFERROR(VLOOKUP(X165,Schichten!$A$5:$G$24,6,FALSE()),0))</f>
        <v>8</v>
      </c>
      <c r="Z165" s="27" t="n">
        <f aca="false">IF($A165="","",IFERROR(VLOOKUP(X165,Schichten!$A$5:$G$24,7,FALSE()),0))</f>
        <v>0</v>
      </c>
      <c r="AA165" s="28" t="n">
        <f aca="false">IF($A165="","",IF(N(Y165)=0,"",$A165+VLOOKUP(X165,Schichten!$A$5:$G$24,3,FALSE())))</f>
        <v>46548.25</v>
      </c>
      <c r="AB165" s="28" t="n">
        <f aca="false">IF(AA165="","",$A165+VLOOKUP(X165,Schichten!$A$5:$G$24,4,FALSE())+IF(VLOOKUP(X165,Schichten!$A$5:$G$24,4,FALSE())&lt;=VLOOKUP(X165,Schichten!$A$5:$G$24,3,FALSE()),1,0))</f>
        <v>46548.5833333333</v>
      </c>
      <c r="AC165" s="28" t="n">
        <f aca="false">IF($A165="","",IF(N(Y164)&gt;0,AB164,AC164))</f>
        <v>46547.5833333333</v>
      </c>
      <c r="AD165" s="27" t="n">
        <f aca="false">IF(OR(AA165="",AC165=""),"",(AA165-AC165)*24)</f>
        <v>16</v>
      </c>
      <c r="AE165" s="21" t="n">
        <f aca="false">IF($A165="","",IF(N(Y165)&gt;0,N(AE164)+1,0))</f>
        <v>2</v>
      </c>
      <c r="AF165" s="21" t="n">
        <f aca="false">IF($A165="","",IF(N(Z165)&gt;0,N(AF164)+1,0))</f>
        <v>0</v>
      </c>
      <c r="AG165" s="21" t="str">
        <f aca="false">IF($A165="","",IF(WEEKDAY($A165,2)&lt;&gt;7,"",IF(AND(OR(AA165="",N(AA165)&gt;=$A165+16/24,N(AB165)&lt;=$A165+6/24),OR(AC165="",N(AC165)&lt;=$A165+6/24)),1,0)))</f>
        <v/>
      </c>
      <c r="AH165" s="26" t="str">
        <f aca="false">IF($A165="","",IF(INDEX(Muster!$C$9:$BF$9,1,MOD($A165-Einstellungen!$C$6,Einstellungen!$C$7)+1)="","-",INDEX(Muster!$C$9:$BF$9,1,MOD($A165-Einstellungen!$C$6,Einstellungen!$C$7)+1)))</f>
        <v>-</v>
      </c>
      <c r="AI165" s="27" t="n">
        <f aca="false">IF($A165="","",IFERROR(VLOOKUP(AH165,Schichten!$A$5:$G$24,6,FALSE()),0))</f>
        <v>0</v>
      </c>
      <c r="AJ165" s="27" t="n">
        <f aca="false">IF($A165="","",IFERROR(VLOOKUP(AH165,Schichten!$A$5:$G$24,7,FALSE()),0))</f>
        <v>0</v>
      </c>
      <c r="AK165" s="28" t="str">
        <f aca="false">IF($A165="","",IF(N(AI165)=0,"",$A165+VLOOKUP(AH165,Schichten!$A$5:$G$24,3,FALSE())))</f>
        <v/>
      </c>
      <c r="AL165" s="28" t="str">
        <f aca="false">IF(AK165="","",$A165+VLOOKUP(AH165,Schichten!$A$5:$G$24,4,FALSE())+IF(VLOOKUP(AH165,Schichten!$A$5:$G$24,4,FALSE())&lt;=VLOOKUP(AH165,Schichten!$A$5:$G$24,3,FALSE()),1,0))</f>
        <v/>
      </c>
      <c r="AM165" s="28" t="n">
        <f aca="false">IF($A165="","",IF(N(AI164)&gt;0,AL164,AM164))</f>
        <v>46547.25</v>
      </c>
      <c r="AN165" s="27" t="str">
        <f aca="false">IF(OR(AK165="",AM165=""),"",(AK165-AM165)*24)</f>
        <v/>
      </c>
      <c r="AO165" s="21" t="n">
        <f aca="false">IF($A165="","",IF(N(AI165)&gt;0,N(AO164)+1,0))</f>
        <v>0</v>
      </c>
      <c r="AP165" s="21" t="n">
        <f aca="false">IF($A165="","",IF(N(AJ165)&gt;0,N(AP164)+1,0))</f>
        <v>0</v>
      </c>
      <c r="AQ165" s="21" t="str">
        <f aca="false">IF($A165="","",IF(WEEKDAY($A165,2)&lt;&gt;7,"",IF(AND(OR(AK165="",N(AK165)&gt;=$A165+16/24,N(AL165)&lt;=$A165+6/24),OR(AM165="",N(AM165)&lt;=$A165+6/24)),1,0)))</f>
        <v/>
      </c>
      <c r="AR165" s="26" t="str">
        <f aca="false">IF($A165="","",IF(INDEX(Muster!$C$10:$BF$10,1,MOD($A165-Einstellungen!$C$6,Einstellungen!$C$7)+1)="","-",INDEX(Muster!$C$10:$BF$10,1,MOD($A165-Einstellungen!$C$6,Einstellungen!$C$7)+1)))</f>
        <v>-</v>
      </c>
      <c r="AS165" s="27" t="n">
        <f aca="false">IF($A165="","",IFERROR(VLOOKUP(AR165,Schichten!$A$5:$G$24,6,FALSE()),0))</f>
        <v>0</v>
      </c>
      <c r="AT165" s="27" t="n">
        <f aca="false">IF($A165="","",IFERROR(VLOOKUP(AR165,Schichten!$A$5:$G$24,7,FALSE()),0))</f>
        <v>0</v>
      </c>
      <c r="AU165" s="28" t="str">
        <f aca="false">IF($A165="","",IF(N(AS165)=0,"",$A165+VLOOKUP(AR165,Schichten!$A$5:$G$24,3,FALSE())))</f>
        <v/>
      </c>
      <c r="AV165" s="28" t="str">
        <f aca="false">IF(AU165="","",$A165+VLOOKUP(AR165,Schichten!$A$5:$G$24,4,FALSE())+IF(VLOOKUP(AR165,Schichten!$A$5:$G$24,4,FALSE())&lt;=VLOOKUP(AR165,Schichten!$A$5:$G$24,3,FALSE()),1,0))</f>
        <v/>
      </c>
      <c r="AW165" s="28" t="str">
        <f aca="false">IF($A165="","",IF(N(AS164)&gt;0,AV164,AW164))</f>
        <v/>
      </c>
      <c r="AX165" s="27" t="str">
        <f aca="false">IF(OR(AU165="",AW165=""),"",(AU165-AW165)*24)</f>
        <v/>
      </c>
      <c r="AY165" s="21" t="n">
        <f aca="false">IF($A165="","",IF(N(AS165)&gt;0,N(AY164)+1,0))</f>
        <v>0</v>
      </c>
      <c r="AZ165" s="21" t="n">
        <f aca="false">IF($A165="","",IF(N(AT165)&gt;0,N(AZ164)+1,0))</f>
        <v>0</v>
      </c>
      <c r="BA165" s="21" t="str">
        <f aca="false">IF($A165="","",IF(WEEKDAY($A165,2)&lt;&gt;7,"",IF(AND(OR(AU165="",N(AU165)&gt;=$A165+16/24,N(AV165)&lt;=$A165+6/24),OR(AW165="",N(AW165)&lt;=$A165+6/24)),1,0)))</f>
        <v/>
      </c>
    </row>
    <row r="166" customFormat="false" ht="15" hidden="false" customHeight="false" outlineLevel="0" collapsed="false">
      <c r="A166" s="25" t="n">
        <f aca="false">IF(YEAR(DATE(Einstellungen!$C$4,1,1)+161)=Einstellungen!$C$4,DATE(Einstellungen!$C$4,1,1)+161,"")</f>
        <v>46549</v>
      </c>
      <c r="B166" s="26" t="str">
        <f aca="false">IF($A166="","",CHOOSE(WEEKDAY($A166,2),"Mo","Di","Mi","Do","Fr","Sa","So"))</f>
        <v>Fr</v>
      </c>
      <c r="C166" s="26" t="n">
        <f aca="false">IF($A166="","",MONTH($A166))</f>
        <v>6</v>
      </c>
      <c r="D166" s="26" t="str">
        <f aca="false">IF($A166="","",IF(INDEX(Muster!$C$6:$BF$6,1,MOD($A166-Einstellungen!$C$6,Einstellungen!$C$7)+1)="","-",INDEX(Muster!$C$6:$BF$6,1,MOD($A166-Einstellungen!$C$6,Einstellungen!$C$7)+1)))</f>
        <v>-</v>
      </c>
      <c r="E166" s="27" t="n">
        <f aca="false">IF($A166="","",IFERROR(VLOOKUP(D166,Schichten!$A$5:$G$24,6,FALSE()),0))</f>
        <v>0</v>
      </c>
      <c r="F166" s="27" t="n">
        <f aca="false">IF($A166="","",IFERROR(VLOOKUP(D166,Schichten!$A$5:$G$24,7,FALSE()),0))</f>
        <v>0</v>
      </c>
      <c r="G166" s="28" t="str">
        <f aca="false">IF($A166="","",IF(N(E166)=0,"",$A166+VLOOKUP(D166,Schichten!$A$5:$G$24,3,FALSE())))</f>
        <v/>
      </c>
      <c r="H166" s="28" t="str">
        <f aca="false">IF(G166="","",$A166+VLOOKUP(D166,Schichten!$A$5:$G$24,4,FALSE())+IF(VLOOKUP(D166,Schichten!$A$5:$G$24,4,FALSE())&lt;=VLOOKUP(D166,Schichten!$A$5:$G$24,3,FALSE()),1,0))</f>
        <v/>
      </c>
      <c r="I166" s="28" t="n">
        <f aca="false">IF($A166="","",IF(N(E165)&gt;0,H165,I165))</f>
        <v>46549.25</v>
      </c>
      <c r="J166" s="27" t="str">
        <f aca="false">IF(OR(G166="",I166=""),"",(G166-I166)*24)</f>
        <v/>
      </c>
      <c r="K166" s="21" t="n">
        <f aca="false">IF($A166="","",IF(N(E166)&gt;0,N(K165)+1,0))</f>
        <v>0</v>
      </c>
      <c r="L166" s="21" t="n">
        <f aca="false">IF($A166="","",IF(N(F166)&gt;0,N(L165)+1,0))</f>
        <v>0</v>
      </c>
      <c r="M166" s="21" t="str">
        <f aca="false">IF($A166="","",IF(WEEKDAY($A166,2)&lt;&gt;7,"",IF(AND(OR(G166="",N(G166)&gt;=$A166+16/24,N(H166)&lt;=$A166+6/24),OR(I166="",N(I166)&lt;=$A166+6/24)),1,0)))</f>
        <v/>
      </c>
      <c r="N166" s="26" t="str">
        <f aca="false">IF($A166="","",IF(INDEX(Muster!$C$7:$BF$7,1,MOD($A166-Einstellungen!$C$6,Einstellungen!$C$7)+1)="","-",INDEX(Muster!$C$7:$BF$7,1,MOD($A166-Einstellungen!$C$6,Einstellungen!$C$7)+1)))</f>
        <v>N</v>
      </c>
      <c r="O166" s="27" t="n">
        <f aca="false">IF($A166="","",IFERROR(VLOOKUP(N166,Schichten!$A$5:$G$24,6,FALSE()),0))</f>
        <v>8</v>
      </c>
      <c r="P166" s="27" t="n">
        <f aca="false">IF($A166="","",IFERROR(VLOOKUP(N166,Schichten!$A$5:$G$24,7,FALSE()),0))</f>
        <v>7</v>
      </c>
      <c r="Q166" s="28" t="n">
        <f aca="false">IF($A166="","",IF(N(O166)=0,"",$A166+VLOOKUP(N166,Schichten!$A$5:$G$24,3,FALSE())))</f>
        <v>46549.9166666667</v>
      </c>
      <c r="R166" s="28" t="n">
        <f aca="false">IF(Q166="","",$A166+VLOOKUP(N166,Schichten!$A$5:$G$24,4,FALSE())+IF(VLOOKUP(N166,Schichten!$A$5:$G$24,4,FALSE())&lt;=VLOOKUP(N166,Schichten!$A$5:$G$24,3,FALSE()),1,0))</f>
        <v>46550.25</v>
      </c>
      <c r="S166" s="28" t="n">
        <f aca="false">IF($A166="","",IF(N(O165)&gt;0,R165,S165))</f>
        <v>46548.9166666667</v>
      </c>
      <c r="T166" s="27" t="n">
        <f aca="false">IF(OR(Q166="",S166=""),"",(Q166-S166)*24)</f>
        <v>24</v>
      </c>
      <c r="U166" s="21" t="n">
        <f aca="false">IF($A166="","",IF(N(O166)&gt;0,N(U165)+1,0))</f>
        <v>5</v>
      </c>
      <c r="V166" s="21" t="n">
        <f aca="false">IF($A166="","",IF(N(P166)&gt;0,N(V165)+1,0))</f>
        <v>1</v>
      </c>
      <c r="W166" s="21" t="str">
        <f aca="false">IF($A166="","",IF(WEEKDAY($A166,2)&lt;&gt;7,"",IF(AND(OR(Q166="",N(Q166)&gt;=$A166+16/24,N(R166)&lt;=$A166+6/24),OR(S166="",N(S166)&lt;=$A166+6/24)),1,0)))</f>
        <v/>
      </c>
      <c r="X166" s="26" t="str">
        <f aca="false">IF($A166="","",IF(INDEX(Muster!$C$8:$BF$8,1,MOD($A166-Einstellungen!$C$6,Einstellungen!$C$7)+1)="","-",INDEX(Muster!$C$8:$BF$8,1,MOD($A166-Einstellungen!$C$6,Einstellungen!$C$7)+1)))</f>
        <v>S</v>
      </c>
      <c r="Y166" s="27" t="n">
        <f aca="false">IF($A166="","",IFERROR(VLOOKUP(X166,Schichten!$A$5:$G$24,6,FALSE()),0))</f>
        <v>8</v>
      </c>
      <c r="Z166" s="27" t="n">
        <f aca="false">IF($A166="","",IFERROR(VLOOKUP(X166,Schichten!$A$5:$G$24,7,FALSE()),0))</f>
        <v>0</v>
      </c>
      <c r="AA166" s="28" t="n">
        <f aca="false">IF($A166="","",IF(N(Y166)=0,"",$A166+VLOOKUP(X166,Schichten!$A$5:$G$24,3,FALSE())))</f>
        <v>46549.5833333333</v>
      </c>
      <c r="AB166" s="28" t="n">
        <f aca="false">IF(AA166="","",$A166+VLOOKUP(X166,Schichten!$A$5:$G$24,4,FALSE())+IF(VLOOKUP(X166,Schichten!$A$5:$G$24,4,FALSE())&lt;=VLOOKUP(X166,Schichten!$A$5:$G$24,3,FALSE()),1,0))</f>
        <v>46549.9166666667</v>
      </c>
      <c r="AC166" s="28" t="n">
        <f aca="false">IF($A166="","",IF(N(Y165)&gt;0,AB165,AC165))</f>
        <v>46548.5833333333</v>
      </c>
      <c r="AD166" s="27" t="n">
        <f aca="false">IF(OR(AA166="",AC166=""),"",(AA166-AC166)*24)</f>
        <v>24</v>
      </c>
      <c r="AE166" s="21" t="n">
        <f aca="false">IF($A166="","",IF(N(Y166)&gt;0,N(AE165)+1,0))</f>
        <v>3</v>
      </c>
      <c r="AF166" s="21" t="n">
        <f aca="false">IF($A166="","",IF(N(Z166)&gt;0,N(AF165)+1,0))</f>
        <v>0</v>
      </c>
      <c r="AG166" s="21" t="str">
        <f aca="false">IF($A166="","",IF(WEEKDAY($A166,2)&lt;&gt;7,"",IF(AND(OR(AA166="",N(AA166)&gt;=$A166+16/24,N(AB166)&lt;=$A166+6/24),OR(AC166="",N(AC166)&lt;=$A166+6/24)),1,0)))</f>
        <v/>
      </c>
      <c r="AH166" s="26" t="str">
        <f aca="false">IF($A166="","",IF(INDEX(Muster!$C$9:$BF$9,1,MOD($A166-Einstellungen!$C$6,Einstellungen!$C$7)+1)="","-",INDEX(Muster!$C$9:$BF$9,1,MOD($A166-Einstellungen!$C$6,Einstellungen!$C$7)+1)))</f>
        <v>F</v>
      </c>
      <c r="AI166" s="27" t="n">
        <f aca="false">IF($A166="","",IFERROR(VLOOKUP(AH166,Schichten!$A$5:$G$24,6,FALSE()),0))</f>
        <v>8</v>
      </c>
      <c r="AJ166" s="27" t="n">
        <f aca="false">IF($A166="","",IFERROR(VLOOKUP(AH166,Schichten!$A$5:$G$24,7,FALSE()),0))</f>
        <v>0</v>
      </c>
      <c r="AK166" s="28" t="n">
        <f aca="false">IF($A166="","",IF(N(AI166)=0,"",$A166+VLOOKUP(AH166,Schichten!$A$5:$G$24,3,FALSE())))</f>
        <v>46549.25</v>
      </c>
      <c r="AL166" s="28" t="n">
        <f aca="false">IF(AK166="","",$A166+VLOOKUP(AH166,Schichten!$A$5:$G$24,4,FALSE())+IF(VLOOKUP(AH166,Schichten!$A$5:$G$24,4,FALSE())&lt;=VLOOKUP(AH166,Schichten!$A$5:$G$24,3,FALSE()),1,0))</f>
        <v>46549.5833333333</v>
      </c>
      <c r="AM166" s="28" t="n">
        <f aca="false">IF($A166="","",IF(N(AI165)&gt;0,AL165,AM165))</f>
        <v>46547.25</v>
      </c>
      <c r="AN166" s="27" t="n">
        <f aca="false">IF(OR(AK166="",AM166=""),"",(AK166-AM166)*24)</f>
        <v>48</v>
      </c>
      <c r="AO166" s="21" t="n">
        <f aca="false">IF($A166="","",IF(N(AI166)&gt;0,N(AO165)+1,0))</f>
        <v>1</v>
      </c>
      <c r="AP166" s="21" t="n">
        <f aca="false">IF($A166="","",IF(N(AJ166)&gt;0,N(AP165)+1,0))</f>
        <v>0</v>
      </c>
      <c r="AQ166" s="21" t="str">
        <f aca="false">IF($A166="","",IF(WEEKDAY($A166,2)&lt;&gt;7,"",IF(AND(OR(AK166="",N(AK166)&gt;=$A166+16/24,N(AL166)&lt;=$A166+6/24),OR(AM166="",N(AM166)&lt;=$A166+6/24)),1,0)))</f>
        <v/>
      </c>
      <c r="AR166" s="26" t="str">
        <f aca="false">IF($A166="","",IF(INDEX(Muster!$C$10:$BF$10,1,MOD($A166-Einstellungen!$C$6,Einstellungen!$C$7)+1)="","-",INDEX(Muster!$C$10:$BF$10,1,MOD($A166-Einstellungen!$C$6,Einstellungen!$C$7)+1)))</f>
        <v>-</v>
      </c>
      <c r="AS166" s="27" t="n">
        <f aca="false">IF($A166="","",IFERROR(VLOOKUP(AR166,Schichten!$A$5:$G$24,6,FALSE()),0))</f>
        <v>0</v>
      </c>
      <c r="AT166" s="27" t="n">
        <f aca="false">IF($A166="","",IFERROR(VLOOKUP(AR166,Schichten!$A$5:$G$24,7,FALSE()),0))</f>
        <v>0</v>
      </c>
      <c r="AU166" s="28" t="str">
        <f aca="false">IF($A166="","",IF(N(AS166)=0,"",$A166+VLOOKUP(AR166,Schichten!$A$5:$G$24,3,FALSE())))</f>
        <v/>
      </c>
      <c r="AV166" s="28" t="str">
        <f aca="false">IF(AU166="","",$A166+VLOOKUP(AR166,Schichten!$A$5:$G$24,4,FALSE())+IF(VLOOKUP(AR166,Schichten!$A$5:$G$24,4,FALSE())&lt;=VLOOKUP(AR166,Schichten!$A$5:$G$24,3,FALSE()),1,0))</f>
        <v/>
      </c>
      <c r="AW166" s="28" t="str">
        <f aca="false">IF($A166="","",IF(N(AS165)&gt;0,AV165,AW165))</f>
        <v/>
      </c>
      <c r="AX166" s="27" t="str">
        <f aca="false">IF(OR(AU166="",AW166=""),"",(AU166-AW166)*24)</f>
        <v/>
      </c>
      <c r="AY166" s="21" t="n">
        <f aca="false">IF($A166="","",IF(N(AS166)&gt;0,N(AY165)+1,0))</f>
        <v>0</v>
      </c>
      <c r="AZ166" s="21" t="n">
        <f aca="false">IF($A166="","",IF(N(AT166)&gt;0,N(AZ165)+1,0))</f>
        <v>0</v>
      </c>
      <c r="BA166" s="21" t="str">
        <f aca="false">IF($A166="","",IF(WEEKDAY($A166,2)&lt;&gt;7,"",IF(AND(OR(AU166="",N(AU166)&gt;=$A166+16/24,N(AV166)&lt;=$A166+6/24),OR(AW166="",N(AW166)&lt;=$A166+6/24)),1,0)))</f>
        <v/>
      </c>
    </row>
    <row r="167" customFormat="false" ht="15" hidden="false" customHeight="false" outlineLevel="0" collapsed="false">
      <c r="A167" s="25" t="n">
        <f aca="false">IF(YEAR(DATE(Einstellungen!$C$4,1,1)+162)=Einstellungen!$C$4,DATE(Einstellungen!$C$4,1,1)+162,"")</f>
        <v>46550</v>
      </c>
      <c r="B167" s="26" t="str">
        <f aca="false">IF($A167="","",CHOOSE(WEEKDAY($A167,2),"Mo","Di","Mi","Do","Fr","Sa","So"))</f>
        <v>Sa</v>
      </c>
      <c r="C167" s="26" t="n">
        <f aca="false">IF($A167="","",MONTH($A167))</f>
        <v>6</v>
      </c>
      <c r="D167" s="26" t="str">
        <f aca="false">IF($A167="","",IF(INDEX(Muster!$C$6:$BF$6,1,MOD($A167-Einstellungen!$C$6,Einstellungen!$C$7)+1)="","-",INDEX(Muster!$C$6:$BF$6,1,MOD($A167-Einstellungen!$C$6,Einstellungen!$C$7)+1)))</f>
        <v>-</v>
      </c>
      <c r="E167" s="27" t="n">
        <f aca="false">IF($A167="","",IFERROR(VLOOKUP(D167,Schichten!$A$5:$G$24,6,FALSE()),0))</f>
        <v>0</v>
      </c>
      <c r="F167" s="27" t="n">
        <f aca="false">IF($A167="","",IFERROR(VLOOKUP(D167,Schichten!$A$5:$G$24,7,FALSE()),0))</f>
        <v>0</v>
      </c>
      <c r="G167" s="28" t="str">
        <f aca="false">IF($A167="","",IF(N(E167)=0,"",$A167+VLOOKUP(D167,Schichten!$A$5:$G$24,3,FALSE())))</f>
        <v/>
      </c>
      <c r="H167" s="28" t="str">
        <f aca="false">IF(G167="","",$A167+VLOOKUP(D167,Schichten!$A$5:$G$24,4,FALSE())+IF(VLOOKUP(D167,Schichten!$A$5:$G$24,4,FALSE())&lt;=VLOOKUP(D167,Schichten!$A$5:$G$24,3,FALSE()),1,0))</f>
        <v/>
      </c>
      <c r="I167" s="28" t="n">
        <f aca="false">IF($A167="","",IF(N(E166)&gt;0,H166,I166))</f>
        <v>46549.25</v>
      </c>
      <c r="J167" s="27" t="str">
        <f aca="false">IF(OR(G167="",I167=""),"",(G167-I167)*24)</f>
        <v/>
      </c>
      <c r="K167" s="21" t="n">
        <f aca="false">IF($A167="","",IF(N(E167)&gt;0,N(K166)+1,0))</f>
        <v>0</v>
      </c>
      <c r="L167" s="21" t="n">
        <f aca="false">IF($A167="","",IF(N(F167)&gt;0,N(L166)+1,0))</f>
        <v>0</v>
      </c>
      <c r="M167" s="21" t="str">
        <f aca="false">IF($A167="","",IF(WEEKDAY($A167,2)&lt;&gt;7,"",IF(AND(OR(G167="",N(G167)&gt;=$A167+16/24,N(H167)&lt;=$A167+6/24),OR(I167="",N(I167)&lt;=$A167+6/24)),1,0)))</f>
        <v/>
      </c>
      <c r="N167" s="26" t="str">
        <f aca="false">IF($A167="","",IF(INDEX(Muster!$C$7:$BF$7,1,MOD($A167-Einstellungen!$C$6,Einstellungen!$C$7)+1)="","-",INDEX(Muster!$C$7:$BF$7,1,MOD($A167-Einstellungen!$C$6,Einstellungen!$C$7)+1)))</f>
        <v>N</v>
      </c>
      <c r="O167" s="27" t="n">
        <f aca="false">IF($A167="","",IFERROR(VLOOKUP(N167,Schichten!$A$5:$G$24,6,FALSE()),0))</f>
        <v>8</v>
      </c>
      <c r="P167" s="27" t="n">
        <f aca="false">IF($A167="","",IFERROR(VLOOKUP(N167,Schichten!$A$5:$G$24,7,FALSE()),0))</f>
        <v>7</v>
      </c>
      <c r="Q167" s="28" t="n">
        <f aca="false">IF($A167="","",IF(N(O167)=0,"",$A167+VLOOKUP(N167,Schichten!$A$5:$G$24,3,FALSE())))</f>
        <v>46550.9166666667</v>
      </c>
      <c r="R167" s="28" t="n">
        <f aca="false">IF(Q167="","",$A167+VLOOKUP(N167,Schichten!$A$5:$G$24,4,FALSE())+IF(VLOOKUP(N167,Schichten!$A$5:$G$24,4,FALSE())&lt;=VLOOKUP(N167,Schichten!$A$5:$G$24,3,FALSE()),1,0))</f>
        <v>46551.25</v>
      </c>
      <c r="S167" s="28" t="n">
        <f aca="false">IF($A167="","",IF(N(O166)&gt;0,R166,S166))</f>
        <v>46550.25</v>
      </c>
      <c r="T167" s="27" t="n">
        <f aca="false">IF(OR(Q167="",S167=""),"",(Q167-S167)*24)</f>
        <v>16</v>
      </c>
      <c r="U167" s="21" t="n">
        <f aca="false">IF($A167="","",IF(N(O167)&gt;0,N(U166)+1,0))</f>
        <v>6</v>
      </c>
      <c r="V167" s="21" t="n">
        <f aca="false">IF($A167="","",IF(N(P167)&gt;0,N(V166)+1,0))</f>
        <v>2</v>
      </c>
      <c r="W167" s="21" t="str">
        <f aca="false">IF($A167="","",IF(WEEKDAY($A167,2)&lt;&gt;7,"",IF(AND(OR(Q167="",N(Q167)&gt;=$A167+16/24,N(R167)&lt;=$A167+6/24),OR(S167="",N(S167)&lt;=$A167+6/24)),1,0)))</f>
        <v/>
      </c>
      <c r="X167" s="26" t="str">
        <f aca="false">IF($A167="","",IF(INDEX(Muster!$C$8:$BF$8,1,MOD($A167-Einstellungen!$C$6,Einstellungen!$C$7)+1)="","-",INDEX(Muster!$C$8:$BF$8,1,MOD($A167-Einstellungen!$C$6,Einstellungen!$C$7)+1)))</f>
        <v>S</v>
      </c>
      <c r="Y167" s="27" t="n">
        <f aca="false">IF($A167="","",IFERROR(VLOOKUP(X167,Schichten!$A$5:$G$24,6,FALSE()),0))</f>
        <v>8</v>
      </c>
      <c r="Z167" s="27" t="n">
        <f aca="false">IF($A167="","",IFERROR(VLOOKUP(X167,Schichten!$A$5:$G$24,7,FALSE()),0))</f>
        <v>0</v>
      </c>
      <c r="AA167" s="28" t="n">
        <f aca="false">IF($A167="","",IF(N(Y167)=0,"",$A167+VLOOKUP(X167,Schichten!$A$5:$G$24,3,FALSE())))</f>
        <v>46550.5833333333</v>
      </c>
      <c r="AB167" s="28" t="n">
        <f aca="false">IF(AA167="","",$A167+VLOOKUP(X167,Schichten!$A$5:$G$24,4,FALSE())+IF(VLOOKUP(X167,Schichten!$A$5:$G$24,4,FALSE())&lt;=VLOOKUP(X167,Schichten!$A$5:$G$24,3,FALSE()),1,0))</f>
        <v>46550.9166666667</v>
      </c>
      <c r="AC167" s="28" t="n">
        <f aca="false">IF($A167="","",IF(N(Y166)&gt;0,AB166,AC166))</f>
        <v>46549.9166666667</v>
      </c>
      <c r="AD167" s="27" t="n">
        <f aca="false">IF(OR(AA167="",AC167=""),"",(AA167-AC167)*24)</f>
        <v>16</v>
      </c>
      <c r="AE167" s="21" t="n">
        <f aca="false">IF($A167="","",IF(N(Y167)&gt;0,N(AE166)+1,0))</f>
        <v>4</v>
      </c>
      <c r="AF167" s="21" t="n">
        <f aca="false">IF($A167="","",IF(N(Z167)&gt;0,N(AF166)+1,0))</f>
        <v>0</v>
      </c>
      <c r="AG167" s="21" t="str">
        <f aca="false">IF($A167="","",IF(WEEKDAY($A167,2)&lt;&gt;7,"",IF(AND(OR(AA167="",N(AA167)&gt;=$A167+16/24,N(AB167)&lt;=$A167+6/24),OR(AC167="",N(AC167)&lt;=$A167+6/24)),1,0)))</f>
        <v/>
      </c>
      <c r="AH167" s="26" t="str">
        <f aca="false">IF($A167="","",IF(INDEX(Muster!$C$9:$BF$9,1,MOD($A167-Einstellungen!$C$6,Einstellungen!$C$7)+1)="","-",INDEX(Muster!$C$9:$BF$9,1,MOD($A167-Einstellungen!$C$6,Einstellungen!$C$7)+1)))</f>
        <v>F</v>
      </c>
      <c r="AI167" s="27" t="n">
        <f aca="false">IF($A167="","",IFERROR(VLOOKUP(AH167,Schichten!$A$5:$G$24,6,FALSE()),0))</f>
        <v>8</v>
      </c>
      <c r="AJ167" s="27" t="n">
        <f aca="false">IF($A167="","",IFERROR(VLOOKUP(AH167,Schichten!$A$5:$G$24,7,FALSE()),0))</f>
        <v>0</v>
      </c>
      <c r="AK167" s="28" t="n">
        <f aca="false">IF($A167="","",IF(N(AI167)=0,"",$A167+VLOOKUP(AH167,Schichten!$A$5:$G$24,3,FALSE())))</f>
        <v>46550.25</v>
      </c>
      <c r="AL167" s="28" t="n">
        <f aca="false">IF(AK167="","",$A167+VLOOKUP(AH167,Schichten!$A$5:$G$24,4,FALSE())+IF(VLOOKUP(AH167,Schichten!$A$5:$G$24,4,FALSE())&lt;=VLOOKUP(AH167,Schichten!$A$5:$G$24,3,FALSE()),1,0))</f>
        <v>46550.5833333333</v>
      </c>
      <c r="AM167" s="28" t="n">
        <f aca="false">IF($A167="","",IF(N(AI166)&gt;0,AL166,AM166))</f>
        <v>46549.5833333333</v>
      </c>
      <c r="AN167" s="27" t="n">
        <f aca="false">IF(OR(AK167="",AM167=""),"",(AK167-AM167)*24)</f>
        <v>16</v>
      </c>
      <c r="AO167" s="21" t="n">
        <f aca="false">IF($A167="","",IF(N(AI167)&gt;0,N(AO166)+1,0))</f>
        <v>2</v>
      </c>
      <c r="AP167" s="21" t="n">
        <f aca="false">IF($A167="","",IF(N(AJ167)&gt;0,N(AP166)+1,0))</f>
        <v>0</v>
      </c>
      <c r="AQ167" s="21" t="str">
        <f aca="false">IF($A167="","",IF(WEEKDAY($A167,2)&lt;&gt;7,"",IF(AND(OR(AK167="",N(AK167)&gt;=$A167+16/24,N(AL167)&lt;=$A167+6/24),OR(AM167="",N(AM167)&lt;=$A167+6/24)),1,0)))</f>
        <v/>
      </c>
      <c r="AR167" s="26" t="str">
        <f aca="false">IF($A167="","",IF(INDEX(Muster!$C$10:$BF$10,1,MOD($A167-Einstellungen!$C$6,Einstellungen!$C$7)+1)="","-",INDEX(Muster!$C$10:$BF$10,1,MOD($A167-Einstellungen!$C$6,Einstellungen!$C$7)+1)))</f>
        <v>-</v>
      </c>
      <c r="AS167" s="27" t="n">
        <f aca="false">IF($A167="","",IFERROR(VLOOKUP(AR167,Schichten!$A$5:$G$24,6,FALSE()),0))</f>
        <v>0</v>
      </c>
      <c r="AT167" s="27" t="n">
        <f aca="false">IF($A167="","",IFERROR(VLOOKUP(AR167,Schichten!$A$5:$G$24,7,FALSE()),0))</f>
        <v>0</v>
      </c>
      <c r="AU167" s="28" t="str">
        <f aca="false">IF($A167="","",IF(N(AS167)=0,"",$A167+VLOOKUP(AR167,Schichten!$A$5:$G$24,3,FALSE())))</f>
        <v/>
      </c>
      <c r="AV167" s="28" t="str">
        <f aca="false">IF(AU167="","",$A167+VLOOKUP(AR167,Schichten!$A$5:$G$24,4,FALSE())+IF(VLOOKUP(AR167,Schichten!$A$5:$G$24,4,FALSE())&lt;=VLOOKUP(AR167,Schichten!$A$5:$G$24,3,FALSE()),1,0))</f>
        <v/>
      </c>
      <c r="AW167" s="28" t="str">
        <f aca="false">IF($A167="","",IF(N(AS166)&gt;0,AV166,AW166))</f>
        <v/>
      </c>
      <c r="AX167" s="27" t="str">
        <f aca="false">IF(OR(AU167="",AW167=""),"",(AU167-AW167)*24)</f>
        <v/>
      </c>
      <c r="AY167" s="21" t="n">
        <f aca="false">IF($A167="","",IF(N(AS167)&gt;0,N(AY166)+1,0))</f>
        <v>0</v>
      </c>
      <c r="AZ167" s="21" t="n">
        <f aca="false">IF($A167="","",IF(N(AT167)&gt;0,N(AZ166)+1,0))</f>
        <v>0</v>
      </c>
      <c r="BA167" s="21" t="str">
        <f aca="false">IF($A167="","",IF(WEEKDAY($A167,2)&lt;&gt;7,"",IF(AND(OR(AU167="",N(AU167)&gt;=$A167+16/24,N(AV167)&lt;=$A167+6/24),OR(AW167="",N(AW167)&lt;=$A167+6/24)),1,0)))</f>
        <v/>
      </c>
    </row>
    <row r="168" customFormat="false" ht="15" hidden="false" customHeight="false" outlineLevel="0" collapsed="false">
      <c r="A168" s="25" t="n">
        <f aca="false">IF(YEAR(DATE(Einstellungen!$C$4,1,1)+163)=Einstellungen!$C$4,DATE(Einstellungen!$C$4,1,1)+163,"")</f>
        <v>46551</v>
      </c>
      <c r="B168" s="26" t="str">
        <f aca="false">IF($A168="","",CHOOSE(WEEKDAY($A168,2),"Mo","Di","Mi","Do","Fr","Sa","So"))</f>
        <v>So</v>
      </c>
      <c r="C168" s="26" t="n">
        <f aca="false">IF($A168="","",MONTH($A168))</f>
        <v>6</v>
      </c>
      <c r="D168" s="26" t="str">
        <f aca="false">IF($A168="","",IF(INDEX(Muster!$C$6:$BF$6,1,MOD($A168-Einstellungen!$C$6,Einstellungen!$C$7)+1)="","-",INDEX(Muster!$C$6:$BF$6,1,MOD($A168-Einstellungen!$C$6,Einstellungen!$C$7)+1)))</f>
        <v>F</v>
      </c>
      <c r="E168" s="27" t="n">
        <f aca="false">IF($A168="","",IFERROR(VLOOKUP(D168,Schichten!$A$5:$G$24,6,FALSE()),0))</f>
        <v>8</v>
      </c>
      <c r="F168" s="27" t="n">
        <f aca="false">IF($A168="","",IFERROR(VLOOKUP(D168,Schichten!$A$5:$G$24,7,FALSE()),0))</f>
        <v>0</v>
      </c>
      <c r="G168" s="28" t="n">
        <f aca="false">IF($A168="","",IF(N(E168)=0,"",$A168+VLOOKUP(D168,Schichten!$A$5:$G$24,3,FALSE())))</f>
        <v>46551.25</v>
      </c>
      <c r="H168" s="28" t="n">
        <f aca="false">IF(G168="","",$A168+VLOOKUP(D168,Schichten!$A$5:$G$24,4,FALSE())+IF(VLOOKUP(D168,Schichten!$A$5:$G$24,4,FALSE())&lt;=VLOOKUP(D168,Schichten!$A$5:$G$24,3,FALSE()),1,0))</f>
        <v>46551.5833333333</v>
      </c>
      <c r="I168" s="28" t="n">
        <f aca="false">IF($A168="","",IF(N(E167)&gt;0,H167,I167))</f>
        <v>46549.25</v>
      </c>
      <c r="J168" s="27" t="n">
        <f aca="false">IF(OR(G168="",I168=""),"",(G168-I168)*24)</f>
        <v>48</v>
      </c>
      <c r="K168" s="21" t="n">
        <f aca="false">IF($A168="","",IF(N(E168)&gt;0,N(K167)+1,0))</f>
        <v>1</v>
      </c>
      <c r="L168" s="21" t="n">
        <f aca="false">IF($A168="","",IF(N(F168)&gt;0,N(L167)+1,0))</f>
        <v>0</v>
      </c>
      <c r="M168" s="21" t="n">
        <f aca="false">IF($A168="","",IF(WEEKDAY($A168,2)&lt;&gt;7,"",IF(AND(OR(G168="",N(G168)&gt;=$A168+16/24,N(H168)&lt;=$A168+6/24),OR(I168="",N(I168)&lt;=$A168+6/24)),1,0)))</f>
        <v>0</v>
      </c>
      <c r="N168" s="26" t="str">
        <f aca="false">IF($A168="","",IF(INDEX(Muster!$C$7:$BF$7,1,MOD($A168-Einstellungen!$C$6,Einstellungen!$C$7)+1)="","-",INDEX(Muster!$C$7:$BF$7,1,MOD($A168-Einstellungen!$C$6,Einstellungen!$C$7)+1)))</f>
        <v>-</v>
      </c>
      <c r="O168" s="27" t="n">
        <f aca="false">IF($A168="","",IFERROR(VLOOKUP(N168,Schichten!$A$5:$G$24,6,FALSE()),0))</f>
        <v>0</v>
      </c>
      <c r="P168" s="27" t="n">
        <f aca="false">IF($A168="","",IFERROR(VLOOKUP(N168,Schichten!$A$5:$G$24,7,FALSE()),0))</f>
        <v>0</v>
      </c>
      <c r="Q168" s="28" t="str">
        <f aca="false">IF($A168="","",IF(N(O168)=0,"",$A168+VLOOKUP(N168,Schichten!$A$5:$G$24,3,FALSE())))</f>
        <v/>
      </c>
      <c r="R168" s="28" t="str">
        <f aca="false">IF(Q168="","",$A168+VLOOKUP(N168,Schichten!$A$5:$G$24,4,FALSE())+IF(VLOOKUP(N168,Schichten!$A$5:$G$24,4,FALSE())&lt;=VLOOKUP(N168,Schichten!$A$5:$G$24,3,FALSE()),1,0))</f>
        <v/>
      </c>
      <c r="S168" s="28" t="n">
        <f aca="false">IF($A168="","",IF(N(O167)&gt;0,R167,S167))</f>
        <v>46551.25</v>
      </c>
      <c r="T168" s="27" t="str">
        <f aca="false">IF(OR(Q168="",S168=""),"",(Q168-S168)*24)</f>
        <v/>
      </c>
      <c r="U168" s="21" t="n">
        <f aca="false">IF($A168="","",IF(N(O168)&gt;0,N(U167)+1,0))</f>
        <v>0</v>
      </c>
      <c r="V168" s="21" t="n">
        <f aca="false">IF($A168="","",IF(N(P168)&gt;0,N(V167)+1,0))</f>
        <v>0</v>
      </c>
      <c r="W168" s="21" t="n">
        <f aca="false">IF($A168="","",IF(WEEKDAY($A168,2)&lt;&gt;7,"",IF(AND(OR(Q168="",N(Q168)&gt;=$A168+16/24,N(R168)&lt;=$A168+6/24),OR(S168="",N(S168)&lt;=$A168+6/24)),1,0)))</f>
        <v>1</v>
      </c>
      <c r="X168" s="26" t="str">
        <f aca="false">IF($A168="","",IF(INDEX(Muster!$C$8:$BF$8,1,MOD($A168-Einstellungen!$C$6,Einstellungen!$C$7)+1)="","-",INDEX(Muster!$C$8:$BF$8,1,MOD($A168-Einstellungen!$C$6,Einstellungen!$C$7)+1)))</f>
        <v>N</v>
      </c>
      <c r="Y168" s="27" t="n">
        <f aca="false">IF($A168="","",IFERROR(VLOOKUP(X168,Schichten!$A$5:$G$24,6,FALSE()),0))</f>
        <v>8</v>
      </c>
      <c r="Z168" s="27" t="n">
        <f aca="false">IF($A168="","",IFERROR(VLOOKUP(X168,Schichten!$A$5:$G$24,7,FALSE()),0))</f>
        <v>7</v>
      </c>
      <c r="AA168" s="28" t="n">
        <f aca="false">IF($A168="","",IF(N(Y168)=0,"",$A168+VLOOKUP(X168,Schichten!$A$5:$G$24,3,FALSE())))</f>
        <v>46551.9166666667</v>
      </c>
      <c r="AB168" s="28" t="n">
        <f aca="false">IF(AA168="","",$A168+VLOOKUP(X168,Schichten!$A$5:$G$24,4,FALSE())+IF(VLOOKUP(X168,Schichten!$A$5:$G$24,4,FALSE())&lt;=VLOOKUP(X168,Schichten!$A$5:$G$24,3,FALSE()),1,0))</f>
        <v>46552.25</v>
      </c>
      <c r="AC168" s="28" t="n">
        <f aca="false">IF($A168="","",IF(N(Y167)&gt;0,AB167,AC167))</f>
        <v>46550.9166666667</v>
      </c>
      <c r="AD168" s="27" t="n">
        <f aca="false">IF(OR(AA168="",AC168=""),"",(AA168-AC168)*24)</f>
        <v>24</v>
      </c>
      <c r="AE168" s="21" t="n">
        <f aca="false">IF($A168="","",IF(N(Y168)&gt;0,N(AE167)+1,0))</f>
        <v>5</v>
      </c>
      <c r="AF168" s="21" t="n">
        <f aca="false">IF($A168="","",IF(N(Z168)&gt;0,N(AF167)+1,0))</f>
        <v>1</v>
      </c>
      <c r="AG168" s="21" t="n">
        <f aca="false">IF($A168="","",IF(WEEKDAY($A168,2)&lt;&gt;7,"",IF(AND(OR(AA168="",N(AA168)&gt;=$A168+16/24,N(AB168)&lt;=$A168+6/24),OR(AC168="",N(AC168)&lt;=$A168+6/24)),1,0)))</f>
        <v>1</v>
      </c>
      <c r="AH168" s="26" t="str">
        <f aca="false">IF($A168="","",IF(INDEX(Muster!$C$9:$BF$9,1,MOD($A168-Einstellungen!$C$6,Einstellungen!$C$7)+1)="","-",INDEX(Muster!$C$9:$BF$9,1,MOD($A168-Einstellungen!$C$6,Einstellungen!$C$7)+1)))</f>
        <v>S</v>
      </c>
      <c r="AI168" s="27" t="n">
        <f aca="false">IF($A168="","",IFERROR(VLOOKUP(AH168,Schichten!$A$5:$G$24,6,FALSE()),0))</f>
        <v>8</v>
      </c>
      <c r="AJ168" s="27" t="n">
        <f aca="false">IF($A168="","",IFERROR(VLOOKUP(AH168,Schichten!$A$5:$G$24,7,FALSE()),0))</f>
        <v>0</v>
      </c>
      <c r="AK168" s="28" t="n">
        <f aca="false">IF($A168="","",IF(N(AI168)=0,"",$A168+VLOOKUP(AH168,Schichten!$A$5:$G$24,3,FALSE())))</f>
        <v>46551.5833333333</v>
      </c>
      <c r="AL168" s="28" t="n">
        <f aca="false">IF(AK168="","",$A168+VLOOKUP(AH168,Schichten!$A$5:$G$24,4,FALSE())+IF(VLOOKUP(AH168,Schichten!$A$5:$G$24,4,FALSE())&lt;=VLOOKUP(AH168,Schichten!$A$5:$G$24,3,FALSE()),1,0))</f>
        <v>46551.9166666667</v>
      </c>
      <c r="AM168" s="28" t="n">
        <f aca="false">IF($A168="","",IF(N(AI167)&gt;0,AL167,AM167))</f>
        <v>46550.5833333333</v>
      </c>
      <c r="AN168" s="27" t="n">
        <f aca="false">IF(OR(AK168="",AM168=""),"",(AK168-AM168)*24)</f>
        <v>24</v>
      </c>
      <c r="AO168" s="21" t="n">
        <f aca="false">IF($A168="","",IF(N(AI168)&gt;0,N(AO167)+1,0))</f>
        <v>3</v>
      </c>
      <c r="AP168" s="21" t="n">
        <f aca="false">IF($A168="","",IF(N(AJ168)&gt;0,N(AP167)+1,0))</f>
        <v>0</v>
      </c>
      <c r="AQ168" s="21" t="n">
        <f aca="false">IF($A168="","",IF(WEEKDAY($A168,2)&lt;&gt;7,"",IF(AND(OR(AK168="",N(AK168)&gt;=$A168+16/24,N(AL168)&lt;=$A168+6/24),OR(AM168="",N(AM168)&lt;=$A168+6/24)),1,0)))</f>
        <v>0</v>
      </c>
      <c r="AR168" s="26" t="str">
        <f aca="false">IF($A168="","",IF(INDEX(Muster!$C$10:$BF$10,1,MOD($A168-Einstellungen!$C$6,Einstellungen!$C$7)+1)="","-",INDEX(Muster!$C$10:$BF$10,1,MOD($A168-Einstellungen!$C$6,Einstellungen!$C$7)+1)))</f>
        <v>-</v>
      </c>
      <c r="AS168" s="27" t="n">
        <f aca="false">IF($A168="","",IFERROR(VLOOKUP(AR168,Schichten!$A$5:$G$24,6,FALSE()),0))</f>
        <v>0</v>
      </c>
      <c r="AT168" s="27" t="n">
        <f aca="false">IF($A168="","",IFERROR(VLOOKUP(AR168,Schichten!$A$5:$G$24,7,FALSE()),0))</f>
        <v>0</v>
      </c>
      <c r="AU168" s="28" t="str">
        <f aca="false">IF($A168="","",IF(N(AS168)=0,"",$A168+VLOOKUP(AR168,Schichten!$A$5:$G$24,3,FALSE())))</f>
        <v/>
      </c>
      <c r="AV168" s="28" t="str">
        <f aca="false">IF(AU168="","",$A168+VLOOKUP(AR168,Schichten!$A$5:$G$24,4,FALSE())+IF(VLOOKUP(AR168,Schichten!$A$5:$G$24,4,FALSE())&lt;=VLOOKUP(AR168,Schichten!$A$5:$G$24,3,FALSE()),1,0))</f>
        <v/>
      </c>
      <c r="AW168" s="28" t="str">
        <f aca="false">IF($A168="","",IF(N(AS167)&gt;0,AV167,AW167))</f>
        <v/>
      </c>
      <c r="AX168" s="27" t="str">
        <f aca="false">IF(OR(AU168="",AW168=""),"",(AU168-AW168)*24)</f>
        <v/>
      </c>
      <c r="AY168" s="21" t="n">
        <f aca="false">IF($A168="","",IF(N(AS168)&gt;0,N(AY167)+1,0))</f>
        <v>0</v>
      </c>
      <c r="AZ168" s="21" t="n">
        <f aca="false">IF($A168="","",IF(N(AT168)&gt;0,N(AZ167)+1,0))</f>
        <v>0</v>
      </c>
      <c r="BA168" s="21" t="n">
        <f aca="false">IF($A168="","",IF(WEEKDAY($A168,2)&lt;&gt;7,"",IF(AND(OR(AU168="",N(AU168)&gt;=$A168+16/24,N(AV168)&lt;=$A168+6/24),OR(AW168="",N(AW168)&lt;=$A168+6/24)),1,0)))</f>
        <v>1</v>
      </c>
    </row>
    <row r="169" customFormat="false" ht="15" hidden="false" customHeight="false" outlineLevel="0" collapsed="false">
      <c r="A169" s="25" t="n">
        <f aca="false">IF(YEAR(DATE(Einstellungen!$C$4,1,1)+164)=Einstellungen!$C$4,DATE(Einstellungen!$C$4,1,1)+164,"")</f>
        <v>46552</v>
      </c>
      <c r="B169" s="26" t="str">
        <f aca="false">IF($A169="","",CHOOSE(WEEKDAY($A169,2),"Mo","Di","Mi","Do","Fr","Sa","So"))</f>
        <v>Mo</v>
      </c>
      <c r="C169" s="26" t="n">
        <f aca="false">IF($A169="","",MONTH($A169))</f>
        <v>6</v>
      </c>
      <c r="D169" s="26" t="str">
        <f aca="false">IF($A169="","",IF(INDEX(Muster!$C$6:$BF$6,1,MOD($A169-Einstellungen!$C$6,Einstellungen!$C$7)+1)="","-",INDEX(Muster!$C$6:$BF$6,1,MOD($A169-Einstellungen!$C$6,Einstellungen!$C$7)+1)))</f>
        <v>F</v>
      </c>
      <c r="E169" s="27" t="n">
        <f aca="false">IF($A169="","",IFERROR(VLOOKUP(D169,Schichten!$A$5:$G$24,6,FALSE()),0))</f>
        <v>8</v>
      </c>
      <c r="F169" s="27" t="n">
        <f aca="false">IF($A169="","",IFERROR(VLOOKUP(D169,Schichten!$A$5:$G$24,7,FALSE()),0))</f>
        <v>0</v>
      </c>
      <c r="G169" s="28" t="n">
        <f aca="false">IF($A169="","",IF(N(E169)=0,"",$A169+VLOOKUP(D169,Schichten!$A$5:$G$24,3,FALSE())))</f>
        <v>46552.25</v>
      </c>
      <c r="H169" s="28" t="n">
        <f aca="false">IF(G169="","",$A169+VLOOKUP(D169,Schichten!$A$5:$G$24,4,FALSE())+IF(VLOOKUP(D169,Schichten!$A$5:$G$24,4,FALSE())&lt;=VLOOKUP(D169,Schichten!$A$5:$G$24,3,FALSE()),1,0))</f>
        <v>46552.5833333333</v>
      </c>
      <c r="I169" s="28" t="n">
        <f aca="false">IF($A169="","",IF(N(E168)&gt;0,H168,I168))</f>
        <v>46551.5833333333</v>
      </c>
      <c r="J169" s="27" t="n">
        <f aca="false">IF(OR(G169="",I169=""),"",(G169-I169)*24)</f>
        <v>16</v>
      </c>
      <c r="K169" s="21" t="n">
        <f aca="false">IF($A169="","",IF(N(E169)&gt;0,N(K168)+1,0))</f>
        <v>2</v>
      </c>
      <c r="L169" s="21" t="n">
        <f aca="false">IF($A169="","",IF(N(F169)&gt;0,N(L168)+1,0))</f>
        <v>0</v>
      </c>
      <c r="M169" s="21" t="str">
        <f aca="false">IF($A169="","",IF(WEEKDAY($A169,2)&lt;&gt;7,"",IF(AND(OR(G169="",N(G169)&gt;=$A169+16/24,N(H169)&lt;=$A169+6/24),OR(I169="",N(I169)&lt;=$A169+6/24)),1,0)))</f>
        <v/>
      </c>
      <c r="N169" s="26" t="str">
        <f aca="false">IF($A169="","",IF(INDEX(Muster!$C$7:$BF$7,1,MOD($A169-Einstellungen!$C$6,Einstellungen!$C$7)+1)="","-",INDEX(Muster!$C$7:$BF$7,1,MOD($A169-Einstellungen!$C$6,Einstellungen!$C$7)+1)))</f>
        <v>-</v>
      </c>
      <c r="O169" s="27" t="n">
        <f aca="false">IF($A169="","",IFERROR(VLOOKUP(N169,Schichten!$A$5:$G$24,6,FALSE()),0))</f>
        <v>0</v>
      </c>
      <c r="P169" s="27" t="n">
        <f aca="false">IF($A169="","",IFERROR(VLOOKUP(N169,Schichten!$A$5:$G$24,7,FALSE()),0))</f>
        <v>0</v>
      </c>
      <c r="Q169" s="28" t="str">
        <f aca="false">IF($A169="","",IF(N(O169)=0,"",$A169+VLOOKUP(N169,Schichten!$A$5:$G$24,3,FALSE())))</f>
        <v/>
      </c>
      <c r="R169" s="28" t="str">
        <f aca="false">IF(Q169="","",$A169+VLOOKUP(N169,Schichten!$A$5:$G$24,4,FALSE())+IF(VLOOKUP(N169,Schichten!$A$5:$G$24,4,FALSE())&lt;=VLOOKUP(N169,Schichten!$A$5:$G$24,3,FALSE()),1,0))</f>
        <v/>
      </c>
      <c r="S169" s="28" t="n">
        <f aca="false">IF($A169="","",IF(N(O168)&gt;0,R168,S168))</f>
        <v>46551.25</v>
      </c>
      <c r="T169" s="27" t="str">
        <f aca="false">IF(OR(Q169="",S169=""),"",(Q169-S169)*24)</f>
        <v/>
      </c>
      <c r="U169" s="21" t="n">
        <f aca="false">IF($A169="","",IF(N(O169)&gt;0,N(U168)+1,0))</f>
        <v>0</v>
      </c>
      <c r="V169" s="21" t="n">
        <f aca="false">IF($A169="","",IF(N(P169)&gt;0,N(V168)+1,0))</f>
        <v>0</v>
      </c>
      <c r="W169" s="21" t="str">
        <f aca="false">IF($A169="","",IF(WEEKDAY($A169,2)&lt;&gt;7,"",IF(AND(OR(Q169="",N(Q169)&gt;=$A169+16/24,N(R169)&lt;=$A169+6/24),OR(S169="",N(S169)&lt;=$A169+6/24)),1,0)))</f>
        <v/>
      </c>
      <c r="X169" s="26" t="str">
        <f aca="false">IF($A169="","",IF(INDEX(Muster!$C$8:$BF$8,1,MOD($A169-Einstellungen!$C$6,Einstellungen!$C$7)+1)="","-",INDEX(Muster!$C$8:$BF$8,1,MOD($A169-Einstellungen!$C$6,Einstellungen!$C$7)+1)))</f>
        <v>N</v>
      </c>
      <c r="Y169" s="27" t="n">
        <f aca="false">IF($A169="","",IFERROR(VLOOKUP(X169,Schichten!$A$5:$G$24,6,FALSE()),0))</f>
        <v>8</v>
      </c>
      <c r="Z169" s="27" t="n">
        <f aca="false">IF($A169="","",IFERROR(VLOOKUP(X169,Schichten!$A$5:$G$24,7,FALSE()),0))</f>
        <v>7</v>
      </c>
      <c r="AA169" s="28" t="n">
        <f aca="false">IF($A169="","",IF(N(Y169)=0,"",$A169+VLOOKUP(X169,Schichten!$A$5:$G$24,3,FALSE())))</f>
        <v>46552.9166666667</v>
      </c>
      <c r="AB169" s="28" t="n">
        <f aca="false">IF(AA169="","",$A169+VLOOKUP(X169,Schichten!$A$5:$G$24,4,FALSE())+IF(VLOOKUP(X169,Schichten!$A$5:$G$24,4,FALSE())&lt;=VLOOKUP(X169,Schichten!$A$5:$G$24,3,FALSE()),1,0))</f>
        <v>46553.25</v>
      </c>
      <c r="AC169" s="28" t="n">
        <f aca="false">IF($A169="","",IF(N(Y168)&gt;0,AB168,AC168))</f>
        <v>46552.25</v>
      </c>
      <c r="AD169" s="27" t="n">
        <f aca="false">IF(OR(AA169="",AC169=""),"",(AA169-AC169)*24)</f>
        <v>16</v>
      </c>
      <c r="AE169" s="21" t="n">
        <f aca="false">IF($A169="","",IF(N(Y169)&gt;0,N(AE168)+1,0))</f>
        <v>6</v>
      </c>
      <c r="AF169" s="21" t="n">
        <f aca="false">IF($A169="","",IF(N(Z169)&gt;0,N(AF168)+1,0))</f>
        <v>2</v>
      </c>
      <c r="AG169" s="21" t="str">
        <f aca="false">IF($A169="","",IF(WEEKDAY($A169,2)&lt;&gt;7,"",IF(AND(OR(AA169="",N(AA169)&gt;=$A169+16/24,N(AB169)&lt;=$A169+6/24),OR(AC169="",N(AC169)&lt;=$A169+6/24)),1,0)))</f>
        <v/>
      </c>
      <c r="AH169" s="26" t="str">
        <f aca="false">IF($A169="","",IF(INDEX(Muster!$C$9:$BF$9,1,MOD($A169-Einstellungen!$C$6,Einstellungen!$C$7)+1)="","-",INDEX(Muster!$C$9:$BF$9,1,MOD($A169-Einstellungen!$C$6,Einstellungen!$C$7)+1)))</f>
        <v>S</v>
      </c>
      <c r="AI169" s="27" t="n">
        <f aca="false">IF($A169="","",IFERROR(VLOOKUP(AH169,Schichten!$A$5:$G$24,6,FALSE()),0))</f>
        <v>8</v>
      </c>
      <c r="AJ169" s="27" t="n">
        <f aca="false">IF($A169="","",IFERROR(VLOOKUP(AH169,Schichten!$A$5:$G$24,7,FALSE()),0))</f>
        <v>0</v>
      </c>
      <c r="AK169" s="28" t="n">
        <f aca="false">IF($A169="","",IF(N(AI169)=0,"",$A169+VLOOKUP(AH169,Schichten!$A$5:$G$24,3,FALSE())))</f>
        <v>46552.5833333333</v>
      </c>
      <c r="AL169" s="28" t="n">
        <f aca="false">IF(AK169="","",$A169+VLOOKUP(AH169,Schichten!$A$5:$G$24,4,FALSE())+IF(VLOOKUP(AH169,Schichten!$A$5:$G$24,4,FALSE())&lt;=VLOOKUP(AH169,Schichten!$A$5:$G$24,3,FALSE()),1,0))</f>
        <v>46552.9166666667</v>
      </c>
      <c r="AM169" s="28" t="n">
        <f aca="false">IF($A169="","",IF(N(AI168)&gt;0,AL168,AM168))</f>
        <v>46551.9166666667</v>
      </c>
      <c r="AN169" s="27" t="n">
        <f aca="false">IF(OR(AK169="",AM169=""),"",(AK169-AM169)*24)</f>
        <v>16</v>
      </c>
      <c r="AO169" s="21" t="n">
        <f aca="false">IF($A169="","",IF(N(AI169)&gt;0,N(AO168)+1,0))</f>
        <v>4</v>
      </c>
      <c r="AP169" s="21" t="n">
        <f aca="false">IF($A169="","",IF(N(AJ169)&gt;0,N(AP168)+1,0))</f>
        <v>0</v>
      </c>
      <c r="AQ169" s="21" t="str">
        <f aca="false">IF($A169="","",IF(WEEKDAY($A169,2)&lt;&gt;7,"",IF(AND(OR(AK169="",N(AK169)&gt;=$A169+16/24,N(AL169)&lt;=$A169+6/24),OR(AM169="",N(AM169)&lt;=$A169+6/24)),1,0)))</f>
        <v/>
      </c>
      <c r="AR169" s="26" t="str">
        <f aca="false">IF($A169="","",IF(INDEX(Muster!$C$10:$BF$10,1,MOD($A169-Einstellungen!$C$6,Einstellungen!$C$7)+1)="","-",INDEX(Muster!$C$10:$BF$10,1,MOD($A169-Einstellungen!$C$6,Einstellungen!$C$7)+1)))</f>
        <v>-</v>
      </c>
      <c r="AS169" s="27" t="n">
        <f aca="false">IF($A169="","",IFERROR(VLOOKUP(AR169,Schichten!$A$5:$G$24,6,FALSE()),0))</f>
        <v>0</v>
      </c>
      <c r="AT169" s="27" t="n">
        <f aca="false">IF($A169="","",IFERROR(VLOOKUP(AR169,Schichten!$A$5:$G$24,7,FALSE()),0))</f>
        <v>0</v>
      </c>
      <c r="AU169" s="28" t="str">
        <f aca="false">IF($A169="","",IF(N(AS169)=0,"",$A169+VLOOKUP(AR169,Schichten!$A$5:$G$24,3,FALSE())))</f>
        <v/>
      </c>
      <c r="AV169" s="28" t="str">
        <f aca="false">IF(AU169="","",$A169+VLOOKUP(AR169,Schichten!$A$5:$G$24,4,FALSE())+IF(VLOOKUP(AR169,Schichten!$A$5:$G$24,4,FALSE())&lt;=VLOOKUP(AR169,Schichten!$A$5:$G$24,3,FALSE()),1,0))</f>
        <v/>
      </c>
      <c r="AW169" s="28" t="str">
        <f aca="false">IF($A169="","",IF(N(AS168)&gt;0,AV168,AW168))</f>
        <v/>
      </c>
      <c r="AX169" s="27" t="str">
        <f aca="false">IF(OR(AU169="",AW169=""),"",(AU169-AW169)*24)</f>
        <v/>
      </c>
      <c r="AY169" s="21" t="n">
        <f aca="false">IF($A169="","",IF(N(AS169)&gt;0,N(AY168)+1,0))</f>
        <v>0</v>
      </c>
      <c r="AZ169" s="21" t="n">
        <f aca="false">IF($A169="","",IF(N(AT169)&gt;0,N(AZ168)+1,0))</f>
        <v>0</v>
      </c>
      <c r="BA169" s="21" t="str">
        <f aca="false">IF($A169="","",IF(WEEKDAY($A169,2)&lt;&gt;7,"",IF(AND(OR(AU169="",N(AU169)&gt;=$A169+16/24,N(AV169)&lt;=$A169+6/24),OR(AW169="",N(AW169)&lt;=$A169+6/24)),1,0)))</f>
        <v/>
      </c>
    </row>
    <row r="170" customFormat="false" ht="15" hidden="false" customHeight="false" outlineLevel="0" collapsed="false">
      <c r="A170" s="25" t="n">
        <f aca="false">IF(YEAR(DATE(Einstellungen!$C$4,1,1)+165)=Einstellungen!$C$4,DATE(Einstellungen!$C$4,1,1)+165,"")</f>
        <v>46553</v>
      </c>
      <c r="B170" s="26" t="str">
        <f aca="false">IF($A170="","",CHOOSE(WEEKDAY($A170,2),"Mo","Di","Mi","Do","Fr","Sa","So"))</f>
        <v>Di</v>
      </c>
      <c r="C170" s="26" t="n">
        <f aca="false">IF($A170="","",MONTH($A170))</f>
        <v>6</v>
      </c>
      <c r="D170" s="26" t="str">
        <f aca="false">IF($A170="","",IF(INDEX(Muster!$C$6:$BF$6,1,MOD($A170-Einstellungen!$C$6,Einstellungen!$C$7)+1)="","-",INDEX(Muster!$C$6:$BF$6,1,MOD($A170-Einstellungen!$C$6,Einstellungen!$C$7)+1)))</f>
        <v>S</v>
      </c>
      <c r="E170" s="27" t="n">
        <f aca="false">IF($A170="","",IFERROR(VLOOKUP(D170,Schichten!$A$5:$G$24,6,FALSE()),0))</f>
        <v>8</v>
      </c>
      <c r="F170" s="27" t="n">
        <f aca="false">IF($A170="","",IFERROR(VLOOKUP(D170,Schichten!$A$5:$G$24,7,FALSE()),0))</f>
        <v>0</v>
      </c>
      <c r="G170" s="28" t="n">
        <f aca="false">IF($A170="","",IF(N(E170)=0,"",$A170+VLOOKUP(D170,Schichten!$A$5:$G$24,3,FALSE())))</f>
        <v>46553.5833333333</v>
      </c>
      <c r="H170" s="28" t="n">
        <f aca="false">IF(G170="","",$A170+VLOOKUP(D170,Schichten!$A$5:$G$24,4,FALSE())+IF(VLOOKUP(D170,Schichten!$A$5:$G$24,4,FALSE())&lt;=VLOOKUP(D170,Schichten!$A$5:$G$24,3,FALSE()),1,0))</f>
        <v>46553.9166666667</v>
      </c>
      <c r="I170" s="28" t="n">
        <f aca="false">IF($A170="","",IF(N(E169)&gt;0,H169,I169))</f>
        <v>46552.5833333333</v>
      </c>
      <c r="J170" s="27" t="n">
        <f aca="false">IF(OR(G170="",I170=""),"",(G170-I170)*24)</f>
        <v>24</v>
      </c>
      <c r="K170" s="21" t="n">
        <f aca="false">IF($A170="","",IF(N(E170)&gt;0,N(K169)+1,0))</f>
        <v>3</v>
      </c>
      <c r="L170" s="21" t="n">
        <f aca="false">IF($A170="","",IF(N(F170)&gt;0,N(L169)+1,0))</f>
        <v>0</v>
      </c>
      <c r="M170" s="21" t="str">
        <f aca="false">IF($A170="","",IF(WEEKDAY($A170,2)&lt;&gt;7,"",IF(AND(OR(G170="",N(G170)&gt;=$A170+16/24,N(H170)&lt;=$A170+6/24),OR(I170="",N(I170)&lt;=$A170+6/24)),1,0)))</f>
        <v/>
      </c>
      <c r="N170" s="26" t="str">
        <f aca="false">IF($A170="","",IF(INDEX(Muster!$C$7:$BF$7,1,MOD($A170-Einstellungen!$C$6,Einstellungen!$C$7)+1)="","-",INDEX(Muster!$C$7:$BF$7,1,MOD($A170-Einstellungen!$C$6,Einstellungen!$C$7)+1)))</f>
        <v>F</v>
      </c>
      <c r="O170" s="27" t="n">
        <f aca="false">IF($A170="","",IFERROR(VLOOKUP(N170,Schichten!$A$5:$G$24,6,FALSE()),0))</f>
        <v>8</v>
      </c>
      <c r="P170" s="27" t="n">
        <f aca="false">IF($A170="","",IFERROR(VLOOKUP(N170,Schichten!$A$5:$G$24,7,FALSE()),0))</f>
        <v>0</v>
      </c>
      <c r="Q170" s="28" t="n">
        <f aca="false">IF($A170="","",IF(N(O170)=0,"",$A170+VLOOKUP(N170,Schichten!$A$5:$G$24,3,FALSE())))</f>
        <v>46553.25</v>
      </c>
      <c r="R170" s="28" t="n">
        <f aca="false">IF(Q170="","",$A170+VLOOKUP(N170,Schichten!$A$5:$G$24,4,FALSE())+IF(VLOOKUP(N170,Schichten!$A$5:$G$24,4,FALSE())&lt;=VLOOKUP(N170,Schichten!$A$5:$G$24,3,FALSE()),1,0))</f>
        <v>46553.5833333333</v>
      </c>
      <c r="S170" s="28" t="n">
        <f aca="false">IF($A170="","",IF(N(O169)&gt;0,R169,S169))</f>
        <v>46551.25</v>
      </c>
      <c r="T170" s="27" t="n">
        <f aca="false">IF(OR(Q170="",S170=""),"",(Q170-S170)*24)</f>
        <v>48</v>
      </c>
      <c r="U170" s="21" t="n">
        <f aca="false">IF($A170="","",IF(N(O170)&gt;0,N(U169)+1,0))</f>
        <v>1</v>
      </c>
      <c r="V170" s="21" t="n">
        <f aca="false">IF($A170="","",IF(N(P170)&gt;0,N(V169)+1,0))</f>
        <v>0</v>
      </c>
      <c r="W170" s="21" t="str">
        <f aca="false">IF($A170="","",IF(WEEKDAY($A170,2)&lt;&gt;7,"",IF(AND(OR(Q170="",N(Q170)&gt;=$A170+16/24,N(R170)&lt;=$A170+6/24),OR(S170="",N(S170)&lt;=$A170+6/24)),1,0)))</f>
        <v/>
      </c>
      <c r="X170" s="26" t="str">
        <f aca="false">IF($A170="","",IF(INDEX(Muster!$C$8:$BF$8,1,MOD($A170-Einstellungen!$C$6,Einstellungen!$C$7)+1)="","-",INDEX(Muster!$C$8:$BF$8,1,MOD($A170-Einstellungen!$C$6,Einstellungen!$C$7)+1)))</f>
        <v>-</v>
      </c>
      <c r="Y170" s="27" t="n">
        <f aca="false">IF($A170="","",IFERROR(VLOOKUP(X170,Schichten!$A$5:$G$24,6,FALSE()),0))</f>
        <v>0</v>
      </c>
      <c r="Z170" s="27" t="n">
        <f aca="false">IF($A170="","",IFERROR(VLOOKUP(X170,Schichten!$A$5:$G$24,7,FALSE()),0))</f>
        <v>0</v>
      </c>
      <c r="AA170" s="28" t="str">
        <f aca="false">IF($A170="","",IF(N(Y170)=0,"",$A170+VLOOKUP(X170,Schichten!$A$5:$G$24,3,FALSE())))</f>
        <v/>
      </c>
      <c r="AB170" s="28" t="str">
        <f aca="false">IF(AA170="","",$A170+VLOOKUP(X170,Schichten!$A$5:$G$24,4,FALSE())+IF(VLOOKUP(X170,Schichten!$A$5:$G$24,4,FALSE())&lt;=VLOOKUP(X170,Schichten!$A$5:$G$24,3,FALSE()),1,0))</f>
        <v/>
      </c>
      <c r="AC170" s="28" t="n">
        <f aca="false">IF($A170="","",IF(N(Y169)&gt;0,AB169,AC169))</f>
        <v>46553.25</v>
      </c>
      <c r="AD170" s="27" t="str">
        <f aca="false">IF(OR(AA170="",AC170=""),"",(AA170-AC170)*24)</f>
        <v/>
      </c>
      <c r="AE170" s="21" t="n">
        <f aca="false">IF($A170="","",IF(N(Y170)&gt;0,N(AE169)+1,0))</f>
        <v>0</v>
      </c>
      <c r="AF170" s="21" t="n">
        <f aca="false">IF($A170="","",IF(N(Z170)&gt;0,N(AF169)+1,0))</f>
        <v>0</v>
      </c>
      <c r="AG170" s="21" t="str">
        <f aca="false">IF($A170="","",IF(WEEKDAY($A170,2)&lt;&gt;7,"",IF(AND(OR(AA170="",N(AA170)&gt;=$A170+16/24,N(AB170)&lt;=$A170+6/24),OR(AC170="",N(AC170)&lt;=$A170+6/24)),1,0)))</f>
        <v/>
      </c>
      <c r="AH170" s="26" t="str">
        <f aca="false">IF($A170="","",IF(INDEX(Muster!$C$9:$BF$9,1,MOD($A170-Einstellungen!$C$6,Einstellungen!$C$7)+1)="","-",INDEX(Muster!$C$9:$BF$9,1,MOD($A170-Einstellungen!$C$6,Einstellungen!$C$7)+1)))</f>
        <v>N</v>
      </c>
      <c r="AI170" s="27" t="n">
        <f aca="false">IF($A170="","",IFERROR(VLOOKUP(AH170,Schichten!$A$5:$G$24,6,FALSE()),0))</f>
        <v>8</v>
      </c>
      <c r="AJ170" s="27" t="n">
        <f aca="false">IF($A170="","",IFERROR(VLOOKUP(AH170,Schichten!$A$5:$G$24,7,FALSE()),0))</f>
        <v>7</v>
      </c>
      <c r="AK170" s="28" t="n">
        <f aca="false">IF($A170="","",IF(N(AI170)=0,"",$A170+VLOOKUP(AH170,Schichten!$A$5:$G$24,3,FALSE())))</f>
        <v>46553.9166666667</v>
      </c>
      <c r="AL170" s="28" t="n">
        <f aca="false">IF(AK170="","",$A170+VLOOKUP(AH170,Schichten!$A$5:$G$24,4,FALSE())+IF(VLOOKUP(AH170,Schichten!$A$5:$G$24,4,FALSE())&lt;=VLOOKUP(AH170,Schichten!$A$5:$G$24,3,FALSE()),1,0))</f>
        <v>46554.25</v>
      </c>
      <c r="AM170" s="28" t="n">
        <f aca="false">IF($A170="","",IF(N(AI169)&gt;0,AL169,AM169))</f>
        <v>46552.9166666667</v>
      </c>
      <c r="AN170" s="27" t="n">
        <f aca="false">IF(OR(AK170="",AM170=""),"",(AK170-AM170)*24)</f>
        <v>24</v>
      </c>
      <c r="AO170" s="21" t="n">
        <f aca="false">IF($A170="","",IF(N(AI170)&gt;0,N(AO169)+1,0))</f>
        <v>5</v>
      </c>
      <c r="AP170" s="21" t="n">
        <f aca="false">IF($A170="","",IF(N(AJ170)&gt;0,N(AP169)+1,0))</f>
        <v>1</v>
      </c>
      <c r="AQ170" s="21" t="str">
        <f aca="false">IF($A170="","",IF(WEEKDAY($A170,2)&lt;&gt;7,"",IF(AND(OR(AK170="",N(AK170)&gt;=$A170+16/24,N(AL170)&lt;=$A170+6/24),OR(AM170="",N(AM170)&lt;=$A170+6/24)),1,0)))</f>
        <v/>
      </c>
      <c r="AR170" s="26" t="str">
        <f aca="false">IF($A170="","",IF(INDEX(Muster!$C$10:$BF$10,1,MOD($A170-Einstellungen!$C$6,Einstellungen!$C$7)+1)="","-",INDEX(Muster!$C$10:$BF$10,1,MOD($A170-Einstellungen!$C$6,Einstellungen!$C$7)+1)))</f>
        <v>-</v>
      </c>
      <c r="AS170" s="27" t="n">
        <f aca="false">IF($A170="","",IFERROR(VLOOKUP(AR170,Schichten!$A$5:$G$24,6,FALSE()),0))</f>
        <v>0</v>
      </c>
      <c r="AT170" s="27" t="n">
        <f aca="false">IF($A170="","",IFERROR(VLOOKUP(AR170,Schichten!$A$5:$G$24,7,FALSE()),0))</f>
        <v>0</v>
      </c>
      <c r="AU170" s="28" t="str">
        <f aca="false">IF($A170="","",IF(N(AS170)=0,"",$A170+VLOOKUP(AR170,Schichten!$A$5:$G$24,3,FALSE())))</f>
        <v/>
      </c>
      <c r="AV170" s="28" t="str">
        <f aca="false">IF(AU170="","",$A170+VLOOKUP(AR170,Schichten!$A$5:$G$24,4,FALSE())+IF(VLOOKUP(AR170,Schichten!$A$5:$G$24,4,FALSE())&lt;=VLOOKUP(AR170,Schichten!$A$5:$G$24,3,FALSE()),1,0))</f>
        <v/>
      </c>
      <c r="AW170" s="28" t="str">
        <f aca="false">IF($A170="","",IF(N(AS169)&gt;0,AV169,AW169))</f>
        <v/>
      </c>
      <c r="AX170" s="27" t="str">
        <f aca="false">IF(OR(AU170="",AW170=""),"",(AU170-AW170)*24)</f>
        <v/>
      </c>
      <c r="AY170" s="21" t="n">
        <f aca="false">IF($A170="","",IF(N(AS170)&gt;0,N(AY169)+1,0))</f>
        <v>0</v>
      </c>
      <c r="AZ170" s="21" t="n">
        <f aca="false">IF($A170="","",IF(N(AT170)&gt;0,N(AZ169)+1,0))</f>
        <v>0</v>
      </c>
      <c r="BA170" s="21" t="str">
        <f aca="false">IF($A170="","",IF(WEEKDAY($A170,2)&lt;&gt;7,"",IF(AND(OR(AU170="",N(AU170)&gt;=$A170+16/24,N(AV170)&lt;=$A170+6/24),OR(AW170="",N(AW170)&lt;=$A170+6/24)),1,0)))</f>
        <v/>
      </c>
    </row>
    <row r="171" customFormat="false" ht="15" hidden="false" customHeight="false" outlineLevel="0" collapsed="false">
      <c r="A171" s="25" t="n">
        <f aca="false">IF(YEAR(DATE(Einstellungen!$C$4,1,1)+166)=Einstellungen!$C$4,DATE(Einstellungen!$C$4,1,1)+166,"")</f>
        <v>46554</v>
      </c>
      <c r="B171" s="26" t="str">
        <f aca="false">IF($A171="","",CHOOSE(WEEKDAY($A171,2),"Mo","Di","Mi","Do","Fr","Sa","So"))</f>
        <v>Mi</v>
      </c>
      <c r="C171" s="26" t="n">
        <f aca="false">IF($A171="","",MONTH($A171))</f>
        <v>6</v>
      </c>
      <c r="D171" s="26" t="str">
        <f aca="false">IF($A171="","",IF(INDEX(Muster!$C$6:$BF$6,1,MOD($A171-Einstellungen!$C$6,Einstellungen!$C$7)+1)="","-",INDEX(Muster!$C$6:$BF$6,1,MOD($A171-Einstellungen!$C$6,Einstellungen!$C$7)+1)))</f>
        <v>S</v>
      </c>
      <c r="E171" s="27" t="n">
        <f aca="false">IF($A171="","",IFERROR(VLOOKUP(D171,Schichten!$A$5:$G$24,6,FALSE()),0))</f>
        <v>8</v>
      </c>
      <c r="F171" s="27" t="n">
        <f aca="false">IF($A171="","",IFERROR(VLOOKUP(D171,Schichten!$A$5:$G$24,7,FALSE()),0))</f>
        <v>0</v>
      </c>
      <c r="G171" s="28" t="n">
        <f aca="false">IF($A171="","",IF(N(E171)=0,"",$A171+VLOOKUP(D171,Schichten!$A$5:$G$24,3,FALSE())))</f>
        <v>46554.5833333333</v>
      </c>
      <c r="H171" s="28" t="n">
        <f aca="false">IF(G171="","",$A171+VLOOKUP(D171,Schichten!$A$5:$G$24,4,FALSE())+IF(VLOOKUP(D171,Schichten!$A$5:$G$24,4,FALSE())&lt;=VLOOKUP(D171,Schichten!$A$5:$G$24,3,FALSE()),1,0))</f>
        <v>46554.9166666667</v>
      </c>
      <c r="I171" s="28" t="n">
        <f aca="false">IF($A171="","",IF(N(E170)&gt;0,H170,I170))</f>
        <v>46553.9166666667</v>
      </c>
      <c r="J171" s="27" t="n">
        <f aca="false">IF(OR(G171="",I171=""),"",(G171-I171)*24)</f>
        <v>16</v>
      </c>
      <c r="K171" s="21" t="n">
        <f aca="false">IF($A171="","",IF(N(E171)&gt;0,N(K170)+1,0))</f>
        <v>4</v>
      </c>
      <c r="L171" s="21" t="n">
        <f aca="false">IF($A171="","",IF(N(F171)&gt;0,N(L170)+1,0))</f>
        <v>0</v>
      </c>
      <c r="M171" s="21" t="str">
        <f aca="false">IF($A171="","",IF(WEEKDAY($A171,2)&lt;&gt;7,"",IF(AND(OR(G171="",N(G171)&gt;=$A171+16/24,N(H171)&lt;=$A171+6/24),OR(I171="",N(I171)&lt;=$A171+6/24)),1,0)))</f>
        <v/>
      </c>
      <c r="N171" s="26" t="str">
        <f aca="false">IF($A171="","",IF(INDEX(Muster!$C$7:$BF$7,1,MOD($A171-Einstellungen!$C$6,Einstellungen!$C$7)+1)="","-",INDEX(Muster!$C$7:$BF$7,1,MOD($A171-Einstellungen!$C$6,Einstellungen!$C$7)+1)))</f>
        <v>F</v>
      </c>
      <c r="O171" s="27" t="n">
        <f aca="false">IF($A171="","",IFERROR(VLOOKUP(N171,Schichten!$A$5:$G$24,6,FALSE()),0))</f>
        <v>8</v>
      </c>
      <c r="P171" s="27" t="n">
        <f aca="false">IF($A171="","",IFERROR(VLOOKUP(N171,Schichten!$A$5:$G$24,7,FALSE()),0))</f>
        <v>0</v>
      </c>
      <c r="Q171" s="28" t="n">
        <f aca="false">IF($A171="","",IF(N(O171)=0,"",$A171+VLOOKUP(N171,Schichten!$A$5:$G$24,3,FALSE())))</f>
        <v>46554.25</v>
      </c>
      <c r="R171" s="28" t="n">
        <f aca="false">IF(Q171="","",$A171+VLOOKUP(N171,Schichten!$A$5:$G$24,4,FALSE())+IF(VLOOKUP(N171,Schichten!$A$5:$G$24,4,FALSE())&lt;=VLOOKUP(N171,Schichten!$A$5:$G$24,3,FALSE()),1,0))</f>
        <v>46554.5833333333</v>
      </c>
      <c r="S171" s="28" t="n">
        <f aca="false">IF($A171="","",IF(N(O170)&gt;0,R170,S170))</f>
        <v>46553.5833333333</v>
      </c>
      <c r="T171" s="27" t="n">
        <f aca="false">IF(OR(Q171="",S171=""),"",(Q171-S171)*24)</f>
        <v>16</v>
      </c>
      <c r="U171" s="21" t="n">
        <f aca="false">IF($A171="","",IF(N(O171)&gt;0,N(U170)+1,0))</f>
        <v>2</v>
      </c>
      <c r="V171" s="21" t="n">
        <f aca="false">IF($A171="","",IF(N(P171)&gt;0,N(V170)+1,0))</f>
        <v>0</v>
      </c>
      <c r="W171" s="21" t="str">
        <f aca="false">IF($A171="","",IF(WEEKDAY($A171,2)&lt;&gt;7,"",IF(AND(OR(Q171="",N(Q171)&gt;=$A171+16/24,N(R171)&lt;=$A171+6/24),OR(S171="",N(S171)&lt;=$A171+6/24)),1,0)))</f>
        <v/>
      </c>
      <c r="X171" s="26" t="str">
        <f aca="false">IF($A171="","",IF(INDEX(Muster!$C$8:$BF$8,1,MOD($A171-Einstellungen!$C$6,Einstellungen!$C$7)+1)="","-",INDEX(Muster!$C$8:$BF$8,1,MOD($A171-Einstellungen!$C$6,Einstellungen!$C$7)+1)))</f>
        <v>-</v>
      </c>
      <c r="Y171" s="27" t="n">
        <f aca="false">IF($A171="","",IFERROR(VLOOKUP(X171,Schichten!$A$5:$G$24,6,FALSE()),0))</f>
        <v>0</v>
      </c>
      <c r="Z171" s="27" t="n">
        <f aca="false">IF($A171="","",IFERROR(VLOOKUP(X171,Schichten!$A$5:$G$24,7,FALSE()),0))</f>
        <v>0</v>
      </c>
      <c r="AA171" s="28" t="str">
        <f aca="false">IF($A171="","",IF(N(Y171)=0,"",$A171+VLOOKUP(X171,Schichten!$A$5:$G$24,3,FALSE())))</f>
        <v/>
      </c>
      <c r="AB171" s="28" t="str">
        <f aca="false">IF(AA171="","",$A171+VLOOKUP(X171,Schichten!$A$5:$G$24,4,FALSE())+IF(VLOOKUP(X171,Schichten!$A$5:$G$24,4,FALSE())&lt;=VLOOKUP(X171,Schichten!$A$5:$G$24,3,FALSE()),1,0))</f>
        <v/>
      </c>
      <c r="AC171" s="28" t="n">
        <f aca="false">IF($A171="","",IF(N(Y170)&gt;0,AB170,AC170))</f>
        <v>46553.25</v>
      </c>
      <c r="AD171" s="27" t="str">
        <f aca="false">IF(OR(AA171="",AC171=""),"",(AA171-AC171)*24)</f>
        <v/>
      </c>
      <c r="AE171" s="21" t="n">
        <f aca="false">IF($A171="","",IF(N(Y171)&gt;0,N(AE170)+1,0))</f>
        <v>0</v>
      </c>
      <c r="AF171" s="21" t="n">
        <f aca="false">IF($A171="","",IF(N(Z171)&gt;0,N(AF170)+1,0))</f>
        <v>0</v>
      </c>
      <c r="AG171" s="21" t="str">
        <f aca="false">IF($A171="","",IF(WEEKDAY($A171,2)&lt;&gt;7,"",IF(AND(OR(AA171="",N(AA171)&gt;=$A171+16/24,N(AB171)&lt;=$A171+6/24),OR(AC171="",N(AC171)&lt;=$A171+6/24)),1,0)))</f>
        <v/>
      </c>
      <c r="AH171" s="26" t="str">
        <f aca="false">IF($A171="","",IF(INDEX(Muster!$C$9:$BF$9,1,MOD($A171-Einstellungen!$C$6,Einstellungen!$C$7)+1)="","-",INDEX(Muster!$C$9:$BF$9,1,MOD($A171-Einstellungen!$C$6,Einstellungen!$C$7)+1)))</f>
        <v>N</v>
      </c>
      <c r="AI171" s="27" t="n">
        <f aca="false">IF($A171="","",IFERROR(VLOOKUP(AH171,Schichten!$A$5:$G$24,6,FALSE()),0))</f>
        <v>8</v>
      </c>
      <c r="AJ171" s="27" t="n">
        <f aca="false">IF($A171="","",IFERROR(VLOOKUP(AH171,Schichten!$A$5:$G$24,7,FALSE()),0))</f>
        <v>7</v>
      </c>
      <c r="AK171" s="28" t="n">
        <f aca="false">IF($A171="","",IF(N(AI171)=0,"",$A171+VLOOKUP(AH171,Schichten!$A$5:$G$24,3,FALSE())))</f>
        <v>46554.9166666667</v>
      </c>
      <c r="AL171" s="28" t="n">
        <f aca="false">IF(AK171="","",$A171+VLOOKUP(AH171,Schichten!$A$5:$G$24,4,FALSE())+IF(VLOOKUP(AH171,Schichten!$A$5:$G$24,4,FALSE())&lt;=VLOOKUP(AH171,Schichten!$A$5:$G$24,3,FALSE()),1,0))</f>
        <v>46555.25</v>
      </c>
      <c r="AM171" s="28" t="n">
        <f aca="false">IF($A171="","",IF(N(AI170)&gt;0,AL170,AM170))</f>
        <v>46554.25</v>
      </c>
      <c r="AN171" s="27" t="n">
        <f aca="false">IF(OR(AK171="",AM171=""),"",(AK171-AM171)*24)</f>
        <v>16</v>
      </c>
      <c r="AO171" s="21" t="n">
        <f aca="false">IF($A171="","",IF(N(AI171)&gt;0,N(AO170)+1,0))</f>
        <v>6</v>
      </c>
      <c r="AP171" s="21" t="n">
        <f aca="false">IF($A171="","",IF(N(AJ171)&gt;0,N(AP170)+1,0))</f>
        <v>2</v>
      </c>
      <c r="AQ171" s="21" t="str">
        <f aca="false">IF($A171="","",IF(WEEKDAY($A171,2)&lt;&gt;7,"",IF(AND(OR(AK171="",N(AK171)&gt;=$A171+16/24,N(AL171)&lt;=$A171+6/24),OR(AM171="",N(AM171)&lt;=$A171+6/24)),1,0)))</f>
        <v/>
      </c>
      <c r="AR171" s="26" t="str">
        <f aca="false">IF($A171="","",IF(INDEX(Muster!$C$10:$BF$10,1,MOD($A171-Einstellungen!$C$6,Einstellungen!$C$7)+1)="","-",INDEX(Muster!$C$10:$BF$10,1,MOD($A171-Einstellungen!$C$6,Einstellungen!$C$7)+1)))</f>
        <v>-</v>
      </c>
      <c r="AS171" s="27" t="n">
        <f aca="false">IF($A171="","",IFERROR(VLOOKUP(AR171,Schichten!$A$5:$G$24,6,FALSE()),0))</f>
        <v>0</v>
      </c>
      <c r="AT171" s="27" t="n">
        <f aca="false">IF($A171="","",IFERROR(VLOOKUP(AR171,Schichten!$A$5:$G$24,7,FALSE()),0))</f>
        <v>0</v>
      </c>
      <c r="AU171" s="28" t="str">
        <f aca="false">IF($A171="","",IF(N(AS171)=0,"",$A171+VLOOKUP(AR171,Schichten!$A$5:$G$24,3,FALSE())))</f>
        <v/>
      </c>
      <c r="AV171" s="28" t="str">
        <f aca="false">IF(AU171="","",$A171+VLOOKUP(AR171,Schichten!$A$5:$G$24,4,FALSE())+IF(VLOOKUP(AR171,Schichten!$A$5:$G$24,4,FALSE())&lt;=VLOOKUP(AR171,Schichten!$A$5:$G$24,3,FALSE()),1,0))</f>
        <v/>
      </c>
      <c r="AW171" s="28" t="str">
        <f aca="false">IF($A171="","",IF(N(AS170)&gt;0,AV170,AW170))</f>
        <v/>
      </c>
      <c r="AX171" s="27" t="str">
        <f aca="false">IF(OR(AU171="",AW171=""),"",(AU171-AW171)*24)</f>
        <v/>
      </c>
      <c r="AY171" s="21" t="n">
        <f aca="false">IF($A171="","",IF(N(AS171)&gt;0,N(AY170)+1,0))</f>
        <v>0</v>
      </c>
      <c r="AZ171" s="21" t="n">
        <f aca="false">IF($A171="","",IF(N(AT171)&gt;0,N(AZ170)+1,0))</f>
        <v>0</v>
      </c>
      <c r="BA171" s="21" t="str">
        <f aca="false">IF($A171="","",IF(WEEKDAY($A171,2)&lt;&gt;7,"",IF(AND(OR(AU171="",N(AU171)&gt;=$A171+16/24,N(AV171)&lt;=$A171+6/24),OR(AW171="",N(AW171)&lt;=$A171+6/24)),1,0)))</f>
        <v/>
      </c>
    </row>
    <row r="172" customFormat="false" ht="15" hidden="false" customHeight="false" outlineLevel="0" collapsed="false">
      <c r="A172" s="25" t="n">
        <f aca="false">IF(YEAR(DATE(Einstellungen!$C$4,1,1)+167)=Einstellungen!$C$4,DATE(Einstellungen!$C$4,1,1)+167,"")</f>
        <v>46555</v>
      </c>
      <c r="B172" s="26" t="str">
        <f aca="false">IF($A172="","",CHOOSE(WEEKDAY($A172,2),"Mo","Di","Mi","Do","Fr","Sa","So"))</f>
        <v>Do</v>
      </c>
      <c r="C172" s="26" t="n">
        <f aca="false">IF($A172="","",MONTH($A172))</f>
        <v>6</v>
      </c>
      <c r="D172" s="26" t="str">
        <f aca="false">IF($A172="","",IF(INDEX(Muster!$C$6:$BF$6,1,MOD($A172-Einstellungen!$C$6,Einstellungen!$C$7)+1)="","-",INDEX(Muster!$C$6:$BF$6,1,MOD($A172-Einstellungen!$C$6,Einstellungen!$C$7)+1)))</f>
        <v>N</v>
      </c>
      <c r="E172" s="27" t="n">
        <f aca="false">IF($A172="","",IFERROR(VLOOKUP(D172,Schichten!$A$5:$G$24,6,FALSE()),0))</f>
        <v>8</v>
      </c>
      <c r="F172" s="27" t="n">
        <f aca="false">IF($A172="","",IFERROR(VLOOKUP(D172,Schichten!$A$5:$G$24,7,FALSE()),0))</f>
        <v>7</v>
      </c>
      <c r="G172" s="28" t="n">
        <f aca="false">IF($A172="","",IF(N(E172)=0,"",$A172+VLOOKUP(D172,Schichten!$A$5:$G$24,3,FALSE())))</f>
        <v>46555.9166666667</v>
      </c>
      <c r="H172" s="28" t="n">
        <f aca="false">IF(G172="","",$A172+VLOOKUP(D172,Schichten!$A$5:$G$24,4,FALSE())+IF(VLOOKUP(D172,Schichten!$A$5:$G$24,4,FALSE())&lt;=VLOOKUP(D172,Schichten!$A$5:$G$24,3,FALSE()),1,0))</f>
        <v>46556.25</v>
      </c>
      <c r="I172" s="28" t="n">
        <f aca="false">IF($A172="","",IF(N(E171)&gt;0,H171,I171))</f>
        <v>46554.9166666667</v>
      </c>
      <c r="J172" s="27" t="n">
        <f aca="false">IF(OR(G172="",I172=""),"",(G172-I172)*24)</f>
        <v>24</v>
      </c>
      <c r="K172" s="21" t="n">
        <f aca="false">IF($A172="","",IF(N(E172)&gt;0,N(K171)+1,0))</f>
        <v>5</v>
      </c>
      <c r="L172" s="21" t="n">
        <f aca="false">IF($A172="","",IF(N(F172)&gt;0,N(L171)+1,0))</f>
        <v>1</v>
      </c>
      <c r="M172" s="21" t="str">
        <f aca="false">IF($A172="","",IF(WEEKDAY($A172,2)&lt;&gt;7,"",IF(AND(OR(G172="",N(G172)&gt;=$A172+16/24,N(H172)&lt;=$A172+6/24),OR(I172="",N(I172)&lt;=$A172+6/24)),1,0)))</f>
        <v/>
      </c>
      <c r="N172" s="26" t="str">
        <f aca="false">IF($A172="","",IF(INDEX(Muster!$C$7:$BF$7,1,MOD($A172-Einstellungen!$C$6,Einstellungen!$C$7)+1)="","-",INDEX(Muster!$C$7:$BF$7,1,MOD($A172-Einstellungen!$C$6,Einstellungen!$C$7)+1)))</f>
        <v>S</v>
      </c>
      <c r="O172" s="27" t="n">
        <f aca="false">IF($A172="","",IFERROR(VLOOKUP(N172,Schichten!$A$5:$G$24,6,FALSE()),0))</f>
        <v>8</v>
      </c>
      <c r="P172" s="27" t="n">
        <f aca="false">IF($A172="","",IFERROR(VLOOKUP(N172,Schichten!$A$5:$G$24,7,FALSE()),0))</f>
        <v>0</v>
      </c>
      <c r="Q172" s="28" t="n">
        <f aca="false">IF($A172="","",IF(N(O172)=0,"",$A172+VLOOKUP(N172,Schichten!$A$5:$G$24,3,FALSE())))</f>
        <v>46555.5833333333</v>
      </c>
      <c r="R172" s="28" t="n">
        <f aca="false">IF(Q172="","",$A172+VLOOKUP(N172,Schichten!$A$5:$G$24,4,FALSE())+IF(VLOOKUP(N172,Schichten!$A$5:$G$24,4,FALSE())&lt;=VLOOKUP(N172,Schichten!$A$5:$G$24,3,FALSE()),1,0))</f>
        <v>46555.9166666667</v>
      </c>
      <c r="S172" s="28" t="n">
        <f aca="false">IF($A172="","",IF(N(O171)&gt;0,R171,S171))</f>
        <v>46554.5833333333</v>
      </c>
      <c r="T172" s="27" t="n">
        <f aca="false">IF(OR(Q172="",S172=""),"",(Q172-S172)*24)</f>
        <v>24</v>
      </c>
      <c r="U172" s="21" t="n">
        <f aca="false">IF($A172="","",IF(N(O172)&gt;0,N(U171)+1,0))</f>
        <v>3</v>
      </c>
      <c r="V172" s="21" t="n">
        <f aca="false">IF($A172="","",IF(N(P172)&gt;0,N(V171)+1,0))</f>
        <v>0</v>
      </c>
      <c r="W172" s="21" t="str">
        <f aca="false">IF($A172="","",IF(WEEKDAY($A172,2)&lt;&gt;7,"",IF(AND(OR(Q172="",N(Q172)&gt;=$A172+16/24,N(R172)&lt;=$A172+6/24),OR(S172="",N(S172)&lt;=$A172+6/24)),1,0)))</f>
        <v/>
      </c>
      <c r="X172" s="26" t="str">
        <f aca="false">IF($A172="","",IF(INDEX(Muster!$C$8:$BF$8,1,MOD($A172-Einstellungen!$C$6,Einstellungen!$C$7)+1)="","-",INDEX(Muster!$C$8:$BF$8,1,MOD($A172-Einstellungen!$C$6,Einstellungen!$C$7)+1)))</f>
        <v>F</v>
      </c>
      <c r="Y172" s="27" t="n">
        <f aca="false">IF($A172="","",IFERROR(VLOOKUP(X172,Schichten!$A$5:$G$24,6,FALSE()),0))</f>
        <v>8</v>
      </c>
      <c r="Z172" s="27" t="n">
        <f aca="false">IF($A172="","",IFERROR(VLOOKUP(X172,Schichten!$A$5:$G$24,7,FALSE()),0))</f>
        <v>0</v>
      </c>
      <c r="AA172" s="28" t="n">
        <f aca="false">IF($A172="","",IF(N(Y172)=0,"",$A172+VLOOKUP(X172,Schichten!$A$5:$G$24,3,FALSE())))</f>
        <v>46555.25</v>
      </c>
      <c r="AB172" s="28" t="n">
        <f aca="false">IF(AA172="","",$A172+VLOOKUP(X172,Schichten!$A$5:$G$24,4,FALSE())+IF(VLOOKUP(X172,Schichten!$A$5:$G$24,4,FALSE())&lt;=VLOOKUP(X172,Schichten!$A$5:$G$24,3,FALSE()),1,0))</f>
        <v>46555.5833333333</v>
      </c>
      <c r="AC172" s="28" t="n">
        <f aca="false">IF($A172="","",IF(N(Y171)&gt;0,AB171,AC171))</f>
        <v>46553.25</v>
      </c>
      <c r="AD172" s="27" t="n">
        <f aca="false">IF(OR(AA172="",AC172=""),"",(AA172-AC172)*24)</f>
        <v>48</v>
      </c>
      <c r="AE172" s="21" t="n">
        <f aca="false">IF($A172="","",IF(N(Y172)&gt;0,N(AE171)+1,0))</f>
        <v>1</v>
      </c>
      <c r="AF172" s="21" t="n">
        <f aca="false">IF($A172="","",IF(N(Z172)&gt;0,N(AF171)+1,0))</f>
        <v>0</v>
      </c>
      <c r="AG172" s="21" t="str">
        <f aca="false">IF($A172="","",IF(WEEKDAY($A172,2)&lt;&gt;7,"",IF(AND(OR(AA172="",N(AA172)&gt;=$A172+16/24,N(AB172)&lt;=$A172+6/24),OR(AC172="",N(AC172)&lt;=$A172+6/24)),1,0)))</f>
        <v/>
      </c>
      <c r="AH172" s="26" t="str">
        <f aca="false">IF($A172="","",IF(INDEX(Muster!$C$9:$BF$9,1,MOD($A172-Einstellungen!$C$6,Einstellungen!$C$7)+1)="","-",INDEX(Muster!$C$9:$BF$9,1,MOD($A172-Einstellungen!$C$6,Einstellungen!$C$7)+1)))</f>
        <v>-</v>
      </c>
      <c r="AI172" s="27" t="n">
        <f aca="false">IF($A172="","",IFERROR(VLOOKUP(AH172,Schichten!$A$5:$G$24,6,FALSE()),0))</f>
        <v>0</v>
      </c>
      <c r="AJ172" s="27" t="n">
        <f aca="false">IF($A172="","",IFERROR(VLOOKUP(AH172,Schichten!$A$5:$G$24,7,FALSE()),0))</f>
        <v>0</v>
      </c>
      <c r="AK172" s="28" t="str">
        <f aca="false">IF($A172="","",IF(N(AI172)=0,"",$A172+VLOOKUP(AH172,Schichten!$A$5:$G$24,3,FALSE())))</f>
        <v/>
      </c>
      <c r="AL172" s="28" t="str">
        <f aca="false">IF(AK172="","",$A172+VLOOKUP(AH172,Schichten!$A$5:$G$24,4,FALSE())+IF(VLOOKUP(AH172,Schichten!$A$5:$G$24,4,FALSE())&lt;=VLOOKUP(AH172,Schichten!$A$5:$G$24,3,FALSE()),1,0))</f>
        <v/>
      </c>
      <c r="AM172" s="28" t="n">
        <f aca="false">IF($A172="","",IF(N(AI171)&gt;0,AL171,AM171))</f>
        <v>46555.25</v>
      </c>
      <c r="AN172" s="27" t="str">
        <f aca="false">IF(OR(AK172="",AM172=""),"",(AK172-AM172)*24)</f>
        <v/>
      </c>
      <c r="AO172" s="21" t="n">
        <f aca="false">IF($A172="","",IF(N(AI172)&gt;0,N(AO171)+1,0))</f>
        <v>0</v>
      </c>
      <c r="AP172" s="21" t="n">
        <f aca="false">IF($A172="","",IF(N(AJ172)&gt;0,N(AP171)+1,0))</f>
        <v>0</v>
      </c>
      <c r="AQ172" s="21" t="str">
        <f aca="false">IF($A172="","",IF(WEEKDAY($A172,2)&lt;&gt;7,"",IF(AND(OR(AK172="",N(AK172)&gt;=$A172+16/24,N(AL172)&lt;=$A172+6/24),OR(AM172="",N(AM172)&lt;=$A172+6/24)),1,0)))</f>
        <v/>
      </c>
      <c r="AR172" s="26" t="str">
        <f aca="false">IF($A172="","",IF(INDEX(Muster!$C$10:$BF$10,1,MOD($A172-Einstellungen!$C$6,Einstellungen!$C$7)+1)="","-",INDEX(Muster!$C$10:$BF$10,1,MOD($A172-Einstellungen!$C$6,Einstellungen!$C$7)+1)))</f>
        <v>-</v>
      </c>
      <c r="AS172" s="27" t="n">
        <f aca="false">IF($A172="","",IFERROR(VLOOKUP(AR172,Schichten!$A$5:$G$24,6,FALSE()),0))</f>
        <v>0</v>
      </c>
      <c r="AT172" s="27" t="n">
        <f aca="false">IF($A172="","",IFERROR(VLOOKUP(AR172,Schichten!$A$5:$G$24,7,FALSE()),0))</f>
        <v>0</v>
      </c>
      <c r="AU172" s="28" t="str">
        <f aca="false">IF($A172="","",IF(N(AS172)=0,"",$A172+VLOOKUP(AR172,Schichten!$A$5:$G$24,3,FALSE())))</f>
        <v/>
      </c>
      <c r="AV172" s="28" t="str">
        <f aca="false">IF(AU172="","",$A172+VLOOKUP(AR172,Schichten!$A$5:$G$24,4,FALSE())+IF(VLOOKUP(AR172,Schichten!$A$5:$G$24,4,FALSE())&lt;=VLOOKUP(AR172,Schichten!$A$5:$G$24,3,FALSE()),1,0))</f>
        <v/>
      </c>
      <c r="AW172" s="28" t="str">
        <f aca="false">IF($A172="","",IF(N(AS171)&gt;0,AV171,AW171))</f>
        <v/>
      </c>
      <c r="AX172" s="27" t="str">
        <f aca="false">IF(OR(AU172="",AW172=""),"",(AU172-AW172)*24)</f>
        <v/>
      </c>
      <c r="AY172" s="21" t="n">
        <f aca="false">IF($A172="","",IF(N(AS172)&gt;0,N(AY171)+1,0))</f>
        <v>0</v>
      </c>
      <c r="AZ172" s="21" t="n">
        <f aca="false">IF($A172="","",IF(N(AT172)&gt;0,N(AZ171)+1,0))</f>
        <v>0</v>
      </c>
      <c r="BA172" s="21" t="str">
        <f aca="false">IF($A172="","",IF(WEEKDAY($A172,2)&lt;&gt;7,"",IF(AND(OR(AU172="",N(AU172)&gt;=$A172+16/24,N(AV172)&lt;=$A172+6/24),OR(AW172="",N(AW172)&lt;=$A172+6/24)),1,0)))</f>
        <v/>
      </c>
    </row>
    <row r="173" customFormat="false" ht="15" hidden="false" customHeight="false" outlineLevel="0" collapsed="false">
      <c r="A173" s="25" t="n">
        <f aca="false">IF(YEAR(DATE(Einstellungen!$C$4,1,1)+168)=Einstellungen!$C$4,DATE(Einstellungen!$C$4,1,1)+168,"")</f>
        <v>46556</v>
      </c>
      <c r="B173" s="26" t="str">
        <f aca="false">IF($A173="","",CHOOSE(WEEKDAY($A173,2),"Mo","Di","Mi","Do","Fr","Sa","So"))</f>
        <v>Fr</v>
      </c>
      <c r="C173" s="26" t="n">
        <f aca="false">IF($A173="","",MONTH($A173))</f>
        <v>6</v>
      </c>
      <c r="D173" s="26" t="str">
        <f aca="false">IF($A173="","",IF(INDEX(Muster!$C$6:$BF$6,1,MOD($A173-Einstellungen!$C$6,Einstellungen!$C$7)+1)="","-",INDEX(Muster!$C$6:$BF$6,1,MOD($A173-Einstellungen!$C$6,Einstellungen!$C$7)+1)))</f>
        <v>N</v>
      </c>
      <c r="E173" s="27" t="n">
        <f aca="false">IF($A173="","",IFERROR(VLOOKUP(D173,Schichten!$A$5:$G$24,6,FALSE()),0))</f>
        <v>8</v>
      </c>
      <c r="F173" s="27" t="n">
        <f aca="false">IF($A173="","",IFERROR(VLOOKUP(D173,Schichten!$A$5:$G$24,7,FALSE()),0))</f>
        <v>7</v>
      </c>
      <c r="G173" s="28" t="n">
        <f aca="false">IF($A173="","",IF(N(E173)=0,"",$A173+VLOOKUP(D173,Schichten!$A$5:$G$24,3,FALSE())))</f>
        <v>46556.9166666667</v>
      </c>
      <c r="H173" s="28" t="n">
        <f aca="false">IF(G173="","",$A173+VLOOKUP(D173,Schichten!$A$5:$G$24,4,FALSE())+IF(VLOOKUP(D173,Schichten!$A$5:$G$24,4,FALSE())&lt;=VLOOKUP(D173,Schichten!$A$5:$G$24,3,FALSE()),1,0))</f>
        <v>46557.25</v>
      </c>
      <c r="I173" s="28" t="n">
        <f aca="false">IF($A173="","",IF(N(E172)&gt;0,H172,I172))</f>
        <v>46556.25</v>
      </c>
      <c r="J173" s="27" t="n">
        <f aca="false">IF(OR(G173="",I173=""),"",(G173-I173)*24)</f>
        <v>16</v>
      </c>
      <c r="K173" s="21" t="n">
        <f aca="false">IF($A173="","",IF(N(E173)&gt;0,N(K172)+1,0))</f>
        <v>6</v>
      </c>
      <c r="L173" s="21" t="n">
        <f aca="false">IF($A173="","",IF(N(F173)&gt;0,N(L172)+1,0))</f>
        <v>2</v>
      </c>
      <c r="M173" s="21" t="str">
        <f aca="false">IF($A173="","",IF(WEEKDAY($A173,2)&lt;&gt;7,"",IF(AND(OR(G173="",N(G173)&gt;=$A173+16/24,N(H173)&lt;=$A173+6/24),OR(I173="",N(I173)&lt;=$A173+6/24)),1,0)))</f>
        <v/>
      </c>
      <c r="N173" s="26" t="str">
        <f aca="false">IF($A173="","",IF(INDEX(Muster!$C$7:$BF$7,1,MOD($A173-Einstellungen!$C$6,Einstellungen!$C$7)+1)="","-",INDEX(Muster!$C$7:$BF$7,1,MOD($A173-Einstellungen!$C$6,Einstellungen!$C$7)+1)))</f>
        <v>S</v>
      </c>
      <c r="O173" s="27" t="n">
        <f aca="false">IF($A173="","",IFERROR(VLOOKUP(N173,Schichten!$A$5:$G$24,6,FALSE()),0))</f>
        <v>8</v>
      </c>
      <c r="P173" s="27" t="n">
        <f aca="false">IF($A173="","",IFERROR(VLOOKUP(N173,Schichten!$A$5:$G$24,7,FALSE()),0))</f>
        <v>0</v>
      </c>
      <c r="Q173" s="28" t="n">
        <f aca="false">IF($A173="","",IF(N(O173)=0,"",$A173+VLOOKUP(N173,Schichten!$A$5:$G$24,3,FALSE())))</f>
        <v>46556.5833333333</v>
      </c>
      <c r="R173" s="28" t="n">
        <f aca="false">IF(Q173="","",$A173+VLOOKUP(N173,Schichten!$A$5:$G$24,4,FALSE())+IF(VLOOKUP(N173,Schichten!$A$5:$G$24,4,FALSE())&lt;=VLOOKUP(N173,Schichten!$A$5:$G$24,3,FALSE()),1,0))</f>
        <v>46556.9166666667</v>
      </c>
      <c r="S173" s="28" t="n">
        <f aca="false">IF($A173="","",IF(N(O172)&gt;0,R172,S172))</f>
        <v>46555.9166666667</v>
      </c>
      <c r="T173" s="27" t="n">
        <f aca="false">IF(OR(Q173="",S173=""),"",(Q173-S173)*24)</f>
        <v>16</v>
      </c>
      <c r="U173" s="21" t="n">
        <f aca="false">IF($A173="","",IF(N(O173)&gt;0,N(U172)+1,0))</f>
        <v>4</v>
      </c>
      <c r="V173" s="21" t="n">
        <f aca="false">IF($A173="","",IF(N(P173)&gt;0,N(V172)+1,0))</f>
        <v>0</v>
      </c>
      <c r="W173" s="21" t="str">
        <f aca="false">IF($A173="","",IF(WEEKDAY($A173,2)&lt;&gt;7,"",IF(AND(OR(Q173="",N(Q173)&gt;=$A173+16/24,N(R173)&lt;=$A173+6/24),OR(S173="",N(S173)&lt;=$A173+6/24)),1,0)))</f>
        <v/>
      </c>
      <c r="X173" s="26" t="str">
        <f aca="false">IF($A173="","",IF(INDEX(Muster!$C$8:$BF$8,1,MOD($A173-Einstellungen!$C$6,Einstellungen!$C$7)+1)="","-",INDEX(Muster!$C$8:$BF$8,1,MOD($A173-Einstellungen!$C$6,Einstellungen!$C$7)+1)))</f>
        <v>F</v>
      </c>
      <c r="Y173" s="27" t="n">
        <f aca="false">IF($A173="","",IFERROR(VLOOKUP(X173,Schichten!$A$5:$G$24,6,FALSE()),0))</f>
        <v>8</v>
      </c>
      <c r="Z173" s="27" t="n">
        <f aca="false">IF($A173="","",IFERROR(VLOOKUP(X173,Schichten!$A$5:$G$24,7,FALSE()),0))</f>
        <v>0</v>
      </c>
      <c r="AA173" s="28" t="n">
        <f aca="false">IF($A173="","",IF(N(Y173)=0,"",$A173+VLOOKUP(X173,Schichten!$A$5:$G$24,3,FALSE())))</f>
        <v>46556.25</v>
      </c>
      <c r="AB173" s="28" t="n">
        <f aca="false">IF(AA173="","",$A173+VLOOKUP(X173,Schichten!$A$5:$G$24,4,FALSE())+IF(VLOOKUP(X173,Schichten!$A$5:$G$24,4,FALSE())&lt;=VLOOKUP(X173,Schichten!$A$5:$G$24,3,FALSE()),1,0))</f>
        <v>46556.5833333333</v>
      </c>
      <c r="AC173" s="28" t="n">
        <f aca="false">IF($A173="","",IF(N(Y172)&gt;0,AB172,AC172))</f>
        <v>46555.5833333333</v>
      </c>
      <c r="AD173" s="27" t="n">
        <f aca="false">IF(OR(AA173="",AC173=""),"",(AA173-AC173)*24)</f>
        <v>16</v>
      </c>
      <c r="AE173" s="21" t="n">
        <f aca="false">IF($A173="","",IF(N(Y173)&gt;0,N(AE172)+1,0))</f>
        <v>2</v>
      </c>
      <c r="AF173" s="21" t="n">
        <f aca="false">IF($A173="","",IF(N(Z173)&gt;0,N(AF172)+1,0))</f>
        <v>0</v>
      </c>
      <c r="AG173" s="21" t="str">
        <f aca="false">IF($A173="","",IF(WEEKDAY($A173,2)&lt;&gt;7,"",IF(AND(OR(AA173="",N(AA173)&gt;=$A173+16/24,N(AB173)&lt;=$A173+6/24),OR(AC173="",N(AC173)&lt;=$A173+6/24)),1,0)))</f>
        <v/>
      </c>
      <c r="AH173" s="26" t="str">
        <f aca="false">IF($A173="","",IF(INDEX(Muster!$C$9:$BF$9,1,MOD($A173-Einstellungen!$C$6,Einstellungen!$C$7)+1)="","-",INDEX(Muster!$C$9:$BF$9,1,MOD($A173-Einstellungen!$C$6,Einstellungen!$C$7)+1)))</f>
        <v>-</v>
      </c>
      <c r="AI173" s="27" t="n">
        <f aca="false">IF($A173="","",IFERROR(VLOOKUP(AH173,Schichten!$A$5:$G$24,6,FALSE()),0))</f>
        <v>0</v>
      </c>
      <c r="AJ173" s="27" t="n">
        <f aca="false">IF($A173="","",IFERROR(VLOOKUP(AH173,Schichten!$A$5:$G$24,7,FALSE()),0))</f>
        <v>0</v>
      </c>
      <c r="AK173" s="28" t="str">
        <f aca="false">IF($A173="","",IF(N(AI173)=0,"",$A173+VLOOKUP(AH173,Schichten!$A$5:$G$24,3,FALSE())))</f>
        <v/>
      </c>
      <c r="AL173" s="28" t="str">
        <f aca="false">IF(AK173="","",$A173+VLOOKUP(AH173,Schichten!$A$5:$G$24,4,FALSE())+IF(VLOOKUP(AH173,Schichten!$A$5:$G$24,4,FALSE())&lt;=VLOOKUP(AH173,Schichten!$A$5:$G$24,3,FALSE()),1,0))</f>
        <v/>
      </c>
      <c r="AM173" s="28" t="n">
        <f aca="false">IF($A173="","",IF(N(AI172)&gt;0,AL172,AM172))</f>
        <v>46555.25</v>
      </c>
      <c r="AN173" s="27" t="str">
        <f aca="false">IF(OR(AK173="",AM173=""),"",(AK173-AM173)*24)</f>
        <v/>
      </c>
      <c r="AO173" s="21" t="n">
        <f aca="false">IF($A173="","",IF(N(AI173)&gt;0,N(AO172)+1,0))</f>
        <v>0</v>
      </c>
      <c r="AP173" s="21" t="n">
        <f aca="false">IF($A173="","",IF(N(AJ173)&gt;0,N(AP172)+1,0))</f>
        <v>0</v>
      </c>
      <c r="AQ173" s="21" t="str">
        <f aca="false">IF($A173="","",IF(WEEKDAY($A173,2)&lt;&gt;7,"",IF(AND(OR(AK173="",N(AK173)&gt;=$A173+16/24,N(AL173)&lt;=$A173+6/24),OR(AM173="",N(AM173)&lt;=$A173+6/24)),1,0)))</f>
        <v/>
      </c>
      <c r="AR173" s="26" t="str">
        <f aca="false">IF($A173="","",IF(INDEX(Muster!$C$10:$BF$10,1,MOD($A173-Einstellungen!$C$6,Einstellungen!$C$7)+1)="","-",INDEX(Muster!$C$10:$BF$10,1,MOD($A173-Einstellungen!$C$6,Einstellungen!$C$7)+1)))</f>
        <v>-</v>
      </c>
      <c r="AS173" s="27" t="n">
        <f aca="false">IF($A173="","",IFERROR(VLOOKUP(AR173,Schichten!$A$5:$G$24,6,FALSE()),0))</f>
        <v>0</v>
      </c>
      <c r="AT173" s="27" t="n">
        <f aca="false">IF($A173="","",IFERROR(VLOOKUP(AR173,Schichten!$A$5:$G$24,7,FALSE()),0))</f>
        <v>0</v>
      </c>
      <c r="AU173" s="28" t="str">
        <f aca="false">IF($A173="","",IF(N(AS173)=0,"",$A173+VLOOKUP(AR173,Schichten!$A$5:$G$24,3,FALSE())))</f>
        <v/>
      </c>
      <c r="AV173" s="28" t="str">
        <f aca="false">IF(AU173="","",$A173+VLOOKUP(AR173,Schichten!$A$5:$G$24,4,FALSE())+IF(VLOOKUP(AR173,Schichten!$A$5:$G$24,4,FALSE())&lt;=VLOOKUP(AR173,Schichten!$A$5:$G$24,3,FALSE()),1,0))</f>
        <v/>
      </c>
      <c r="AW173" s="28" t="str">
        <f aca="false">IF($A173="","",IF(N(AS172)&gt;0,AV172,AW172))</f>
        <v/>
      </c>
      <c r="AX173" s="27" t="str">
        <f aca="false">IF(OR(AU173="",AW173=""),"",(AU173-AW173)*24)</f>
        <v/>
      </c>
      <c r="AY173" s="21" t="n">
        <f aca="false">IF($A173="","",IF(N(AS173)&gt;0,N(AY172)+1,0))</f>
        <v>0</v>
      </c>
      <c r="AZ173" s="21" t="n">
        <f aca="false">IF($A173="","",IF(N(AT173)&gt;0,N(AZ172)+1,0))</f>
        <v>0</v>
      </c>
      <c r="BA173" s="21" t="str">
        <f aca="false">IF($A173="","",IF(WEEKDAY($A173,2)&lt;&gt;7,"",IF(AND(OR(AU173="",N(AU173)&gt;=$A173+16/24,N(AV173)&lt;=$A173+6/24),OR(AW173="",N(AW173)&lt;=$A173+6/24)),1,0)))</f>
        <v/>
      </c>
    </row>
    <row r="174" customFormat="false" ht="15" hidden="false" customHeight="false" outlineLevel="0" collapsed="false">
      <c r="A174" s="25" t="n">
        <f aca="false">IF(YEAR(DATE(Einstellungen!$C$4,1,1)+169)=Einstellungen!$C$4,DATE(Einstellungen!$C$4,1,1)+169,"")</f>
        <v>46557</v>
      </c>
      <c r="B174" s="26" t="str">
        <f aca="false">IF($A174="","",CHOOSE(WEEKDAY($A174,2),"Mo","Di","Mi","Do","Fr","Sa","So"))</f>
        <v>Sa</v>
      </c>
      <c r="C174" s="26" t="n">
        <f aca="false">IF($A174="","",MONTH($A174))</f>
        <v>6</v>
      </c>
      <c r="D174" s="26" t="str">
        <f aca="false">IF($A174="","",IF(INDEX(Muster!$C$6:$BF$6,1,MOD($A174-Einstellungen!$C$6,Einstellungen!$C$7)+1)="","-",INDEX(Muster!$C$6:$BF$6,1,MOD($A174-Einstellungen!$C$6,Einstellungen!$C$7)+1)))</f>
        <v>-</v>
      </c>
      <c r="E174" s="27" t="n">
        <f aca="false">IF($A174="","",IFERROR(VLOOKUP(D174,Schichten!$A$5:$G$24,6,FALSE()),0))</f>
        <v>0</v>
      </c>
      <c r="F174" s="27" t="n">
        <f aca="false">IF($A174="","",IFERROR(VLOOKUP(D174,Schichten!$A$5:$G$24,7,FALSE()),0))</f>
        <v>0</v>
      </c>
      <c r="G174" s="28" t="str">
        <f aca="false">IF($A174="","",IF(N(E174)=0,"",$A174+VLOOKUP(D174,Schichten!$A$5:$G$24,3,FALSE())))</f>
        <v/>
      </c>
      <c r="H174" s="28" t="str">
        <f aca="false">IF(G174="","",$A174+VLOOKUP(D174,Schichten!$A$5:$G$24,4,FALSE())+IF(VLOOKUP(D174,Schichten!$A$5:$G$24,4,FALSE())&lt;=VLOOKUP(D174,Schichten!$A$5:$G$24,3,FALSE()),1,0))</f>
        <v/>
      </c>
      <c r="I174" s="28" t="n">
        <f aca="false">IF($A174="","",IF(N(E173)&gt;0,H173,I173))</f>
        <v>46557.25</v>
      </c>
      <c r="J174" s="27" t="str">
        <f aca="false">IF(OR(G174="",I174=""),"",(G174-I174)*24)</f>
        <v/>
      </c>
      <c r="K174" s="21" t="n">
        <f aca="false">IF($A174="","",IF(N(E174)&gt;0,N(K173)+1,0))</f>
        <v>0</v>
      </c>
      <c r="L174" s="21" t="n">
        <f aca="false">IF($A174="","",IF(N(F174)&gt;0,N(L173)+1,0))</f>
        <v>0</v>
      </c>
      <c r="M174" s="21" t="str">
        <f aca="false">IF($A174="","",IF(WEEKDAY($A174,2)&lt;&gt;7,"",IF(AND(OR(G174="",N(G174)&gt;=$A174+16/24,N(H174)&lt;=$A174+6/24),OR(I174="",N(I174)&lt;=$A174+6/24)),1,0)))</f>
        <v/>
      </c>
      <c r="N174" s="26" t="str">
        <f aca="false">IF($A174="","",IF(INDEX(Muster!$C$7:$BF$7,1,MOD($A174-Einstellungen!$C$6,Einstellungen!$C$7)+1)="","-",INDEX(Muster!$C$7:$BF$7,1,MOD($A174-Einstellungen!$C$6,Einstellungen!$C$7)+1)))</f>
        <v>N</v>
      </c>
      <c r="O174" s="27" t="n">
        <f aca="false">IF($A174="","",IFERROR(VLOOKUP(N174,Schichten!$A$5:$G$24,6,FALSE()),0))</f>
        <v>8</v>
      </c>
      <c r="P174" s="27" t="n">
        <f aca="false">IF($A174="","",IFERROR(VLOOKUP(N174,Schichten!$A$5:$G$24,7,FALSE()),0))</f>
        <v>7</v>
      </c>
      <c r="Q174" s="28" t="n">
        <f aca="false">IF($A174="","",IF(N(O174)=0,"",$A174+VLOOKUP(N174,Schichten!$A$5:$G$24,3,FALSE())))</f>
        <v>46557.9166666667</v>
      </c>
      <c r="R174" s="28" t="n">
        <f aca="false">IF(Q174="","",$A174+VLOOKUP(N174,Schichten!$A$5:$G$24,4,FALSE())+IF(VLOOKUP(N174,Schichten!$A$5:$G$24,4,FALSE())&lt;=VLOOKUP(N174,Schichten!$A$5:$G$24,3,FALSE()),1,0))</f>
        <v>46558.25</v>
      </c>
      <c r="S174" s="28" t="n">
        <f aca="false">IF($A174="","",IF(N(O173)&gt;0,R173,S173))</f>
        <v>46556.9166666667</v>
      </c>
      <c r="T174" s="27" t="n">
        <f aca="false">IF(OR(Q174="",S174=""),"",(Q174-S174)*24)</f>
        <v>24</v>
      </c>
      <c r="U174" s="21" t="n">
        <f aca="false">IF($A174="","",IF(N(O174)&gt;0,N(U173)+1,0))</f>
        <v>5</v>
      </c>
      <c r="V174" s="21" t="n">
        <f aca="false">IF($A174="","",IF(N(P174)&gt;0,N(V173)+1,0))</f>
        <v>1</v>
      </c>
      <c r="W174" s="21" t="str">
        <f aca="false">IF($A174="","",IF(WEEKDAY($A174,2)&lt;&gt;7,"",IF(AND(OR(Q174="",N(Q174)&gt;=$A174+16/24,N(R174)&lt;=$A174+6/24),OR(S174="",N(S174)&lt;=$A174+6/24)),1,0)))</f>
        <v/>
      </c>
      <c r="X174" s="26" t="str">
        <f aca="false">IF($A174="","",IF(INDEX(Muster!$C$8:$BF$8,1,MOD($A174-Einstellungen!$C$6,Einstellungen!$C$7)+1)="","-",INDEX(Muster!$C$8:$BF$8,1,MOD($A174-Einstellungen!$C$6,Einstellungen!$C$7)+1)))</f>
        <v>S</v>
      </c>
      <c r="Y174" s="27" t="n">
        <f aca="false">IF($A174="","",IFERROR(VLOOKUP(X174,Schichten!$A$5:$G$24,6,FALSE()),0))</f>
        <v>8</v>
      </c>
      <c r="Z174" s="27" t="n">
        <f aca="false">IF($A174="","",IFERROR(VLOOKUP(X174,Schichten!$A$5:$G$24,7,FALSE()),0))</f>
        <v>0</v>
      </c>
      <c r="AA174" s="28" t="n">
        <f aca="false">IF($A174="","",IF(N(Y174)=0,"",$A174+VLOOKUP(X174,Schichten!$A$5:$G$24,3,FALSE())))</f>
        <v>46557.5833333333</v>
      </c>
      <c r="AB174" s="28" t="n">
        <f aca="false">IF(AA174="","",$A174+VLOOKUP(X174,Schichten!$A$5:$G$24,4,FALSE())+IF(VLOOKUP(X174,Schichten!$A$5:$G$24,4,FALSE())&lt;=VLOOKUP(X174,Schichten!$A$5:$G$24,3,FALSE()),1,0))</f>
        <v>46557.9166666667</v>
      </c>
      <c r="AC174" s="28" t="n">
        <f aca="false">IF($A174="","",IF(N(Y173)&gt;0,AB173,AC173))</f>
        <v>46556.5833333333</v>
      </c>
      <c r="AD174" s="27" t="n">
        <f aca="false">IF(OR(AA174="",AC174=""),"",(AA174-AC174)*24)</f>
        <v>24</v>
      </c>
      <c r="AE174" s="21" t="n">
        <f aca="false">IF($A174="","",IF(N(Y174)&gt;0,N(AE173)+1,0))</f>
        <v>3</v>
      </c>
      <c r="AF174" s="21" t="n">
        <f aca="false">IF($A174="","",IF(N(Z174)&gt;0,N(AF173)+1,0))</f>
        <v>0</v>
      </c>
      <c r="AG174" s="21" t="str">
        <f aca="false">IF($A174="","",IF(WEEKDAY($A174,2)&lt;&gt;7,"",IF(AND(OR(AA174="",N(AA174)&gt;=$A174+16/24,N(AB174)&lt;=$A174+6/24),OR(AC174="",N(AC174)&lt;=$A174+6/24)),1,0)))</f>
        <v/>
      </c>
      <c r="AH174" s="26" t="str">
        <f aca="false">IF($A174="","",IF(INDEX(Muster!$C$9:$BF$9,1,MOD($A174-Einstellungen!$C$6,Einstellungen!$C$7)+1)="","-",INDEX(Muster!$C$9:$BF$9,1,MOD($A174-Einstellungen!$C$6,Einstellungen!$C$7)+1)))</f>
        <v>F</v>
      </c>
      <c r="AI174" s="27" t="n">
        <f aca="false">IF($A174="","",IFERROR(VLOOKUP(AH174,Schichten!$A$5:$G$24,6,FALSE()),0))</f>
        <v>8</v>
      </c>
      <c r="AJ174" s="27" t="n">
        <f aca="false">IF($A174="","",IFERROR(VLOOKUP(AH174,Schichten!$A$5:$G$24,7,FALSE()),0))</f>
        <v>0</v>
      </c>
      <c r="AK174" s="28" t="n">
        <f aca="false">IF($A174="","",IF(N(AI174)=0,"",$A174+VLOOKUP(AH174,Schichten!$A$5:$G$24,3,FALSE())))</f>
        <v>46557.25</v>
      </c>
      <c r="AL174" s="28" t="n">
        <f aca="false">IF(AK174="","",$A174+VLOOKUP(AH174,Schichten!$A$5:$G$24,4,FALSE())+IF(VLOOKUP(AH174,Schichten!$A$5:$G$24,4,FALSE())&lt;=VLOOKUP(AH174,Schichten!$A$5:$G$24,3,FALSE()),1,0))</f>
        <v>46557.5833333333</v>
      </c>
      <c r="AM174" s="28" t="n">
        <f aca="false">IF($A174="","",IF(N(AI173)&gt;0,AL173,AM173))</f>
        <v>46555.25</v>
      </c>
      <c r="AN174" s="27" t="n">
        <f aca="false">IF(OR(AK174="",AM174=""),"",(AK174-AM174)*24)</f>
        <v>48</v>
      </c>
      <c r="AO174" s="21" t="n">
        <f aca="false">IF($A174="","",IF(N(AI174)&gt;0,N(AO173)+1,0))</f>
        <v>1</v>
      </c>
      <c r="AP174" s="21" t="n">
        <f aca="false">IF($A174="","",IF(N(AJ174)&gt;0,N(AP173)+1,0))</f>
        <v>0</v>
      </c>
      <c r="AQ174" s="21" t="str">
        <f aca="false">IF($A174="","",IF(WEEKDAY($A174,2)&lt;&gt;7,"",IF(AND(OR(AK174="",N(AK174)&gt;=$A174+16/24,N(AL174)&lt;=$A174+6/24),OR(AM174="",N(AM174)&lt;=$A174+6/24)),1,0)))</f>
        <v/>
      </c>
      <c r="AR174" s="26" t="str">
        <f aca="false">IF($A174="","",IF(INDEX(Muster!$C$10:$BF$10,1,MOD($A174-Einstellungen!$C$6,Einstellungen!$C$7)+1)="","-",INDEX(Muster!$C$10:$BF$10,1,MOD($A174-Einstellungen!$C$6,Einstellungen!$C$7)+1)))</f>
        <v>-</v>
      </c>
      <c r="AS174" s="27" t="n">
        <f aca="false">IF($A174="","",IFERROR(VLOOKUP(AR174,Schichten!$A$5:$G$24,6,FALSE()),0))</f>
        <v>0</v>
      </c>
      <c r="AT174" s="27" t="n">
        <f aca="false">IF($A174="","",IFERROR(VLOOKUP(AR174,Schichten!$A$5:$G$24,7,FALSE()),0))</f>
        <v>0</v>
      </c>
      <c r="AU174" s="28" t="str">
        <f aca="false">IF($A174="","",IF(N(AS174)=0,"",$A174+VLOOKUP(AR174,Schichten!$A$5:$G$24,3,FALSE())))</f>
        <v/>
      </c>
      <c r="AV174" s="28" t="str">
        <f aca="false">IF(AU174="","",$A174+VLOOKUP(AR174,Schichten!$A$5:$G$24,4,FALSE())+IF(VLOOKUP(AR174,Schichten!$A$5:$G$24,4,FALSE())&lt;=VLOOKUP(AR174,Schichten!$A$5:$G$24,3,FALSE()),1,0))</f>
        <v/>
      </c>
      <c r="AW174" s="28" t="str">
        <f aca="false">IF($A174="","",IF(N(AS173)&gt;0,AV173,AW173))</f>
        <v/>
      </c>
      <c r="AX174" s="27" t="str">
        <f aca="false">IF(OR(AU174="",AW174=""),"",(AU174-AW174)*24)</f>
        <v/>
      </c>
      <c r="AY174" s="21" t="n">
        <f aca="false">IF($A174="","",IF(N(AS174)&gt;0,N(AY173)+1,0))</f>
        <v>0</v>
      </c>
      <c r="AZ174" s="21" t="n">
        <f aca="false">IF($A174="","",IF(N(AT174)&gt;0,N(AZ173)+1,0))</f>
        <v>0</v>
      </c>
      <c r="BA174" s="21" t="str">
        <f aca="false">IF($A174="","",IF(WEEKDAY($A174,2)&lt;&gt;7,"",IF(AND(OR(AU174="",N(AU174)&gt;=$A174+16/24,N(AV174)&lt;=$A174+6/24),OR(AW174="",N(AW174)&lt;=$A174+6/24)),1,0)))</f>
        <v/>
      </c>
    </row>
    <row r="175" customFormat="false" ht="15" hidden="false" customHeight="false" outlineLevel="0" collapsed="false">
      <c r="A175" s="25" t="n">
        <f aca="false">IF(YEAR(DATE(Einstellungen!$C$4,1,1)+170)=Einstellungen!$C$4,DATE(Einstellungen!$C$4,1,1)+170,"")</f>
        <v>46558</v>
      </c>
      <c r="B175" s="26" t="str">
        <f aca="false">IF($A175="","",CHOOSE(WEEKDAY($A175,2),"Mo","Di","Mi","Do","Fr","Sa","So"))</f>
        <v>So</v>
      </c>
      <c r="C175" s="26" t="n">
        <f aca="false">IF($A175="","",MONTH($A175))</f>
        <v>6</v>
      </c>
      <c r="D175" s="26" t="str">
        <f aca="false">IF($A175="","",IF(INDEX(Muster!$C$6:$BF$6,1,MOD($A175-Einstellungen!$C$6,Einstellungen!$C$7)+1)="","-",INDEX(Muster!$C$6:$BF$6,1,MOD($A175-Einstellungen!$C$6,Einstellungen!$C$7)+1)))</f>
        <v>-</v>
      </c>
      <c r="E175" s="27" t="n">
        <f aca="false">IF($A175="","",IFERROR(VLOOKUP(D175,Schichten!$A$5:$G$24,6,FALSE()),0))</f>
        <v>0</v>
      </c>
      <c r="F175" s="27" t="n">
        <f aca="false">IF($A175="","",IFERROR(VLOOKUP(D175,Schichten!$A$5:$G$24,7,FALSE()),0))</f>
        <v>0</v>
      </c>
      <c r="G175" s="28" t="str">
        <f aca="false">IF($A175="","",IF(N(E175)=0,"",$A175+VLOOKUP(D175,Schichten!$A$5:$G$24,3,FALSE())))</f>
        <v/>
      </c>
      <c r="H175" s="28" t="str">
        <f aca="false">IF(G175="","",$A175+VLOOKUP(D175,Schichten!$A$5:$G$24,4,FALSE())+IF(VLOOKUP(D175,Schichten!$A$5:$G$24,4,FALSE())&lt;=VLOOKUP(D175,Schichten!$A$5:$G$24,3,FALSE()),1,0))</f>
        <v/>
      </c>
      <c r="I175" s="28" t="n">
        <f aca="false">IF($A175="","",IF(N(E174)&gt;0,H174,I174))</f>
        <v>46557.25</v>
      </c>
      <c r="J175" s="27" t="str">
        <f aca="false">IF(OR(G175="",I175=""),"",(G175-I175)*24)</f>
        <v/>
      </c>
      <c r="K175" s="21" t="n">
        <f aca="false">IF($A175="","",IF(N(E175)&gt;0,N(K174)+1,0))</f>
        <v>0</v>
      </c>
      <c r="L175" s="21" t="n">
        <f aca="false">IF($A175="","",IF(N(F175)&gt;0,N(L174)+1,0))</f>
        <v>0</v>
      </c>
      <c r="M175" s="21" t="n">
        <f aca="false">IF($A175="","",IF(WEEKDAY($A175,2)&lt;&gt;7,"",IF(AND(OR(G175="",N(G175)&gt;=$A175+16/24,N(H175)&lt;=$A175+6/24),OR(I175="",N(I175)&lt;=$A175+6/24)),1,0)))</f>
        <v>1</v>
      </c>
      <c r="N175" s="26" t="str">
        <f aca="false">IF($A175="","",IF(INDEX(Muster!$C$7:$BF$7,1,MOD($A175-Einstellungen!$C$6,Einstellungen!$C$7)+1)="","-",INDEX(Muster!$C$7:$BF$7,1,MOD($A175-Einstellungen!$C$6,Einstellungen!$C$7)+1)))</f>
        <v>N</v>
      </c>
      <c r="O175" s="27" t="n">
        <f aca="false">IF($A175="","",IFERROR(VLOOKUP(N175,Schichten!$A$5:$G$24,6,FALSE()),0))</f>
        <v>8</v>
      </c>
      <c r="P175" s="27" t="n">
        <f aca="false">IF($A175="","",IFERROR(VLOOKUP(N175,Schichten!$A$5:$G$24,7,FALSE()),0))</f>
        <v>7</v>
      </c>
      <c r="Q175" s="28" t="n">
        <f aca="false">IF($A175="","",IF(N(O175)=0,"",$A175+VLOOKUP(N175,Schichten!$A$5:$G$24,3,FALSE())))</f>
        <v>46558.9166666667</v>
      </c>
      <c r="R175" s="28" t="n">
        <f aca="false">IF(Q175="","",$A175+VLOOKUP(N175,Schichten!$A$5:$G$24,4,FALSE())+IF(VLOOKUP(N175,Schichten!$A$5:$G$24,4,FALSE())&lt;=VLOOKUP(N175,Schichten!$A$5:$G$24,3,FALSE()),1,0))</f>
        <v>46559.25</v>
      </c>
      <c r="S175" s="28" t="n">
        <f aca="false">IF($A175="","",IF(N(O174)&gt;0,R174,S174))</f>
        <v>46558.25</v>
      </c>
      <c r="T175" s="27" t="n">
        <f aca="false">IF(OR(Q175="",S175=""),"",(Q175-S175)*24)</f>
        <v>16</v>
      </c>
      <c r="U175" s="21" t="n">
        <f aca="false">IF($A175="","",IF(N(O175)&gt;0,N(U174)+1,0))</f>
        <v>6</v>
      </c>
      <c r="V175" s="21" t="n">
        <f aca="false">IF($A175="","",IF(N(P175)&gt;0,N(V174)+1,0))</f>
        <v>2</v>
      </c>
      <c r="W175" s="21" t="n">
        <f aca="false">IF($A175="","",IF(WEEKDAY($A175,2)&lt;&gt;7,"",IF(AND(OR(Q175="",N(Q175)&gt;=$A175+16/24,N(R175)&lt;=$A175+6/24),OR(S175="",N(S175)&lt;=$A175+6/24)),1,0)))</f>
        <v>1</v>
      </c>
      <c r="X175" s="26" t="str">
        <f aca="false">IF($A175="","",IF(INDEX(Muster!$C$8:$BF$8,1,MOD($A175-Einstellungen!$C$6,Einstellungen!$C$7)+1)="","-",INDEX(Muster!$C$8:$BF$8,1,MOD($A175-Einstellungen!$C$6,Einstellungen!$C$7)+1)))</f>
        <v>S</v>
      </c>
      <c r="Y175" s="27" t="n">
        <f aca="false">IF($A175="","",IFERROR(VLOOKUP(X175,Schichten!$A$5:$G$24,6,FALSE()),0))</f>
        <v>8</v>
      </c>
      <c r="Z175" s="27" t="n">
        <f aca="false">IF($A175="","",IFERROR(VLOOKUP(X175,Schichten!$A$5:$G$24,7,FALSE()),0))</f>
        <v>0</v>
      </c>
      <c r="AA175" s="28" t="n">
        <f aca="false">IF($A175="","",IF(N(Y175)=0,"",$A175+VLOOKUP(X175,Schichten!$A$5:$G$24,3,FALSE())))</f>
        <v>46558.5833333333</v>
      </c>
      <c r="AB175" s="28" t="n">
        <f aca="false">IF(AA175="","",$A175+VLOOKUP(X175,Schichten!$A$5:$G$24,4,FALSE())+IF(VLOOKUP(X175,Schichten!$A$5:$G$24,4,FALSE())&lt;=VLOOKUP(X175,Schichten!$A$5:$G$24,3,FALSE()),1,0))</f>
        <v>46558.9166666667</v>
      </c>
      <c r="AC175" s="28" t="n">
        <f aca="false">IF($A175="","",IF(N(Y174)&gt;0,AB174,AC174))</f>
        <v>46557.9166666667</v>
      </c>
      <c r="AD175" s="27" t="n">
        <f aca="false">IF(OR(AA175="",AC175=""),"",(AA175-AC175)*24)</f>
        <v>16</v>
      </c>
      <c r="AE175" s="21" t="n">
        <f aca="false">IF($A175="","",IF(N(Y175)&gt;0,N(AE174)+1,0))</f>
        <v>4</v>
      </c>
      <c r="AF175" s="21" t="n">
        <f aca="false">IF($A175="","",IF(N(Z175)&gt;0,N(AF174)+1,0))</f>
        <v>0</v>
      </c>
      <c r="AG175" s="21" t="n">
        <f aca="false">IF($A175="","",IF(WEEKDAY($A175,2)&lt;&gt;7,"",IF(AND(OR(AA175="",N(AA175)&gt;=$A175+16/24,N(AB175)&lt;=$A175+6/24),OR(AC175="",N(AC175)&lt;=$A175+6/24)),1,0)))</f>
        <v>0</v>
      </c>
      <c r="AH175" s="26" t="str">
        <f aca="false">IF($A175="","",IF(INDEX(Muster!$C$9:$BF$9,1,MOD($A175-Einstellungen!$C$6,Einstellungen!$C$7)+1)="","-",INDEX(Muster!$C$9:$BF$9,1,MOD($A175-Einstellungen!$C$6,Einstellungen!$C$7)+1)))</f>
        <v>F</v>
      </c>
      <c r="AI175" s="27" t="n">
        <f aca="false">IF($A175="","",IFERROR(VLOOKUP(AH175,Schichten!$A$5:$G$24,6,FALSE()),0))</f>
        <v>8</v>
      </c>
      <c r="AJ175" s="27" t="n">
        <f aca="false">IF($A175="","",IFERROR(VLOOKUP(AH175,Schichten!$A$5:$G$24,7,FALSE()),0))</f>
        <v>0</v>
      </c>
      <c r="AK175" s="28" t="n">
        <f aca="false">IF($A175="","",IF(N(AI175)=0,"",$A175+VLOOKUP(AH175,Schichten!$A$5:$G$24,3,FALSE())))</f>
        <v>46558.25</v>
      </c>
      <c r="AL175" s="28" t="n">
        <f aca="false">IF(AK175="","",$A175+VLOOKUP(AH175,Schichten!$A$5:$G$24,4,FALSE())+IF(VLOOKUP(AH175,Schichten!$A$5:$G$24,4,FALSE())&lt;=VLOOKUP(AH175,Schichten!$A$5:$G$24,3,FALSE()),1,0))</f>
        <v>46558.5833333333</v>
      </c>
      <c r="AM175" s="28" t="n">
        <f aca="false">IF($A175="","",IF(N(AI174)&gt;0,AL174,AM174))</f>
        <v>46557.5833333333</v>
      </c>
      <c r="AN175" s="27" t="n">
        <f aca="false">IF(OR(AK175="",AM175=""),"",(AK175-AM175)*24)</f>
        <v>16</v>
      </c>
      <c r="AO175" s="21" t="n">
        <f aca="false">IF($A175="","",IF(N(AI175)&gt;0,N(AO174)+1,0))</f>
        <v>2</v>
      </c>
      <c r="AP175" s="21" t="n">
        <f aca="false">IF($A175="","",IF(N(AJ175)&gt;0,N(AP174)+1,0))</f>
        <v>0</v>
      </c>
      <c r="AQ175" s="21" t="n">
        <f aca="false">IF($A175="","",IF(WEEKDAY($A175,2)&lt;&gt;7,"",IF(AND(OR(AK175="",N(AK175)&gt;=$A175+16/24,N(AL175)&lt;=$A175+6/24),OR(AM175="",N(AM175)&lt;=$A175+6/24)),1,0)))</f>
        <v>0</v>
      </c>
      <c r="AR175" s="26" t="str">
        <f aca="false">IF($A175="","",IF(INDEX(Muster!$C$10:$BF$10,1,MOD($A175-Einstellungen!$C$6,Einstellungen!$C$7)+1)="","-",INDEX(Muster!$C$10:$BF$10,1,MOD($A175-Einstellungen!$C$6,Einstellungen!$C$7)+1)))</f>
        <v>-</v>
      </c>
      <c r="AS175" s="27" t="n">
        <f aca="false">IF($A175="","",IFERROR(VLOOKUP(AR175,Schichten!$A$5:$G$24,6,FALSE()),0))</f>
        <v>0</v>
      </c>
      <c r="AT175" s="27" t="n">
        <f aca="false">IF($A175="","",IFERROR(VLOOKUP(AR175,Schichten!$A$5:$G$24,7,FALSE()),0))</f>
        <v>0</v>
      </c>
      <c r="AU175" s="28" t="str">
        <f aca="false">IF($A175="","",IF(N(AS175)=0,"",$A175+VLOOKUP(AR175,Schichten!$A$5:$G$24,3,FALSE())))</f>
        <v/>
      </c>
      <c r="AV175" s="28" t="str">
        <f aca="false">IF(AU175="","",$A175+VLOOKUP(AR175,Schichten!$A$5:$G$24,4,FALSE())+IF(VLOOKUP(AR175,Schichten!$A$5:$G$24,4,FALSE())&lt;=VLOOKUP(AR175,Schichten!$A$5:$G$24,3,FALSE()),1,0))</f>
        <v/>
      </c>
      <c r="AW175" s="28" t="str">
        <f aca="false">IF($A175="","",IF(N(AS174)&gt;0,AV174,AW174))</f>
        <v/>
      </c>
      <c r="AX175" s="27" t="str">
        <f aca="false">IF(OR(AU175="",AW175=""),"",(AU175-AW175)*24)</f>
        <v/>
      </c>
      <c r="AY175" s="21" t="n">
        <f aca="false">IF($A175="","",IF(N(AS175)&gt;0,N(AY174)+1,0))</f>
        <v>0</v>
      </c>
      <c r="AZ175" s="21" t="n">
        <f aca="false">IF($A175="","",IF(N(AT175)&gt;0,N(AZ174)+1,0))</f>
        <v>0</v>
      </c>
      <c r="BA175" s="21" t="n">
        <f aca="false">IF($A175="","",IF(WEEKDAY($A175,2)&lt;&gt;7,"",IF(AND(OR(AU175="",N(AU175)&gt;=$A175+16/24,N(AV175)&lt;=$A175+6/24),OR(AW175="",N(AW175)&lt;=$A175+6/24)),1,0)))</f>
        <v>1</v>
      </c>
    </row>
    <row r="176" customFormat="false" ht="15" hidden="false" customHeight="false" outlineLevel="0" collapsed="false">
      <c r="A176" s="25" t="n">
        <f aca="false">IF(YEAR(DATE(Einstellungen!$C$4,1,1)+171)=Einstellungen!$C$4,DATE(Einstellungen!$C$4,1,1)+171,"")</f>
        <v>46559</v>
      </c>
      <c r="B176" s="26" t="str">
        <f aca="false">IF($A176="","",CHOOSE(WEEKDAY($A176,2),"Mo","Di","Mi","Do","Fr","Sa","So"))</f>
        <v>Mo</v>
      </c>
      <c r="C176" s="26" t="n">
        <f aca="false">IF($A176="","",MONTH($A176))</f>
        <v>6</v>
      </c>
      <c r="D176" s="26" t="str">
        <f aca="false">IF($A176="","",IF(INDEX(Muster!$C$6:$BF$6,1,MOD($A176-Einstellungen!$C$6,Einstellungen!$C$7)+1)="","-",INDEX(Muster!$C$6:$BF$6,1,MOD($A176-Einstellungen!$C$6,Einstellungen!$C$7)+1)))</f>
        <v>F</v>
      </c>
      <c r="E176" s="27" t="n">
        <f aca="false">IF($A176="","",IFERROR(VLOOKUP(D176,Schichten!$A$5:$G$24,6,FALSE()),0))</f>
        <v>8</v>
      </c>
      <c r="F176" s="27" t="n">
        <f aca="false">IF($A176="","",IFERROR(VLOOKUP(D176,Schichten!$A$5:$G$24,7,FALSE()),0))</f>
        <v>0</v>
      </c>
      <c r="G176" s="28" t="n">
        <f aca="false">IF($A176="","",IF(N(E176)=0,"",$A176+VLOOKUP(D176,Schichten!$A$5:$G$24,3,FALSE())))</f>
        <v>46559.25</v>
      </c>
      <c r="H176" s="28" t="n">
        <f aca="false">IF(G176="","",$A176+VLOOKUP(D176,Schichten!$A$5:$G$24,4,FALSE())+IF(VLOOKUP(D176,Schichten!$A$5:$G$24,4,FALSE())&lt;=VLOOKUP(D176,Schichten!$A$5:$G$24,3,FALSE()),1,0))</f>
        <v>46559.5833333333</v>
      </c>
      <c r="I176" s="28" t="n">
        <f aca="false">IF($A176="","",IF(N(E175)&gt;0,H175,I175))</f>
        <v>46557.25</v>
      </c>
      <c r="J176" s="27" t="n">
        <f aca="false">IF(OR(G176="",I176=""),"",(G176-I176)*24)</f>
        <v>48</v>
      </c>
      <c r="K176" s="21" t="n">
        <f aca="false">IF($A176="","",IF(N(E176)&gt;0,N(K175)+1,0))</f>
        <v>1</v>
      </c>
      <c r="L176" s="21" t="n">
        <f aca="false">IF($A176="","",IF(N(F176)&gt;0,N(L175)+1,0))</f>
        <v>0</v>
      </c>
      <c r="M176" s="21" t="str">
        <f aca="false">IF($A176="","",IF(WEEKDAY($A176,2)&lt;&gt;7,"",IF(AND(OR(G176="",N(G176)&gt;=$A176+16/24,N(H176)&lt;=$A176+6/24),OR(I176="",N(I176)&lt;=$A176+6/24)),1,0)))</f>
        <v/>
      </c>
      <c r="N176" s="26" t="str">
        <f aca="false">IF($A176="","",IF(INDEX(Muster!$C$7:$BF$7,1,MOD($A176-Einstellungen!$C$6,Einstellungen!$C$7)+1)="","-",INDEX(Muster!$C$7:$BF$7,1,MOD($A176-Einstellungen!$C$6,Einstellungen!$C$7)+1)))</f>
        <v>-</v>
      </c>
      <c r="O176" s="27" t="n">
        <f aca="false">IF($A176="","",IFERROR(VLOOKUP(N176,Schichten!$A$5:$G$24,6,FALSE()),0))</f>
        <v>0</v>
      </c>
      <c r="P176" s="27" t="n">
        <f aca="false">IF($A176="","",IFERROR(VLOOKUP(N176,Schichten!$A$5:$G$24,7,FALSE()),0))</f>
        <v>0</v>
      </c>
      <c r="Q176" s="28" t="str">
        <f aca="false">IF($A176="","",IF(N(O176)=0,"",$A176+VLOOKUP(N176,Schichten!$A$5:$G$24,3,FALSE())))</f>
        <v/>
      </c>
      <c r="R176" s="28" t="str">
        <f aca="false">IF(Q176="","",$A176+VLOOKUP(N176,Schichten!$A$5:$G$24,4,FALSE())+IF(VLOOKUP(N176,Schichten!$A$5:$G$24,4,FALSE())&lt;=VLOOKUP(N176,Schichten!$A$5:$G$24,3,FALSE()),1,0))</f>
        <v/>
      </c>
      <c r="S176" s="28" t="n">
        <f aca="false">IF($A176="","",IF(N(O175)&gt;0,R175,S175))</f>
        <v>46559.25</v>
      </c>
      <c r="T176" s="27" t="str">
        <f aca="false">IF(OR(Q176="",S176=""),"",(Q176-S176)*24)</f>
        <v/>
      </c>
      <c r="U176" s="21" t="n">
        <f aca="false">IF($A176="","",IF(N(O176)&gt;0,N(U175)+1,0))</f>
        <v>0</v>
      </c>
      <c r="V176" s="21" t="n">
        <f aca="false">IF($A176="","",IF(N(P176)&gt;0,N(V175)+1,0))</f>
        <v>0</v>
      </c>
      <c r="W176" s="21" t="str">
        <f aca="false">IF($A176="","",IF(WEEKDAY($A176,2)&lt;&gt;7,"",IF(AND(OR(Q176="",N(Q176)&gt;=$A176+16/24,N(R176)&lt;=$A176+6/24),OR(S176="",N(S176)&lt;=$A176+6/24)),1,0)))</f>
        <v/>
      </c>
      <c r="X176" s="26" t="str">
        <f aca="false">IF($A176="","",IF(INDEX(Muster!$C$8:$BF$8,1,MOD($A176-Einstellungen!$C$6,Einstellungen!$C$7)+1)="","-",INDEX(Muster!$C$8:$BF$8,1,MOD($A176-Einstellungen!$C$6,Einstellungen!$C$7)+1)))</f>
        <v>N</v>
      </c>
      <c r="Y176" s="27" t="n">
        <f aca="false">IF($A176="","",IFERROR(VLOOKUP(X176,Schichten!$A$5:$G$24,6,FALSE()),0))</f>
        <v>8</v>
      </c>
      <c r="Z176" s="27" t="n">
        <f aca="false">IF($A176="","",IFERROR(VLOOKUP(X176,Schichten!$A$5:$G$24,7,FALSE()),0))</f>
        <v>7</v>
      </c>
      <c r="AA176" s="28" t="n">
        <f aca="false">IF($A176="","",IF(N(Y176)=0,"",$A176+VLOOKUP(X176,Schichten!$A$5:$G$24,3,FALSE())))</f>
        <v>46559.9166666667</v>
      </c>
      <c r="AB176" s="28" t="n">
        <f aca="false">IF(AA176="","",$A176+VLOOKUP(X176,Schichten!$A$5:$G$24,4,FALSE())+IF(VLOOKUP(X176,Schichten!$A$5:$G$24,4,FALSE())&lt;=VLOOKUP(X176,Schichten!$A$5:$G$24,3,FALSE()),1,0))</f>
        <v>46560.25</v>
      </c>
      <c r="AC176" s="28" t="n">
        <f aca="false">IF($A176="","",IF(N(Y175)&gt;0,AB175,AC175))</f>
        <v>46558.9166666667</v>
      </c>
      <c r="AD176" s="27" t="n">
        <f aca="false">IF(OR(AA176="",AC176=""),"",(AA176-AC176)*24)</f>
        <v>24</v>
      </c>
      <c r="AE176" s="21" t="n">
        <f aca="false">IF($A176="","",IF(N(Y176)&gt;0,N(AE175)+1,0))</f>
        <v>5</v>
      </c>
      <c r="AF176" s="21" t="n">
        <f aca="false">IF($A176="","",IF(N(Z176)&gt;0,N(AF175)+1,0))</f>
        <v>1</v>
      </c>
      <c r="AG176" s="21" t="str">
        <f aca="false">IF($A176="","",IF(WEEKDAY($A176,2)&lt;&gt;7,"",IF(AND(OR(AA176="",N(AA176)&gt;=$A176+16/24,N(AB176)&lt;=$A176+6/24),OR(AC176="",N(AC176)&lt;=$A176+6/24)),1,0)))</f>
        <v/>
      </c>
      <c r="AH176" s="26" t="str">
        <f aca="false">IF($A176="","",IF(INDEX(Muster!$C$9:$BF$9,1,MOD($A176-Einstellungen!$C$6,Einstellungen!$C$7)+1)="","-",INDEX(Muster!$C$9:$BF$9,1,MOD($A176-Einstellungen!$C$6,Einstellungen!$C$7)+1)))</f>
        <v>S</v>
      </c>
      <c r="AI176" s="27" t="n">
        <f aca="false">IF($A176="","",IFERROR(VLOOKUP(AH176,Schichten!$A$5:$G$24,6,FALSE()),0))</f>
        <v>8</v>
      </c>
      <c r="AJ176" s="27" t="n">
        <f aca="false">IF($A176="","",IFERROR(VLOOKUP(AH176,Schichten!$A$5:$G$24,7,FALSE()),0))</f>
        <v>0</v>
      </c>
      <c r="AK176" s="28" t="n">
        <f aca="false">IF($A176="","",IF(N(AI176)=0,"",$A176+VLOOKUP(AH176,Schichten!$A$5:$G$24,3,FALSE())))</f>
        <v>46559.5833333333</v>
      </c>
      <c r="AL176" s="28" t="n">
        <f aca="false">IF(AK176="","",$A176+VLOOKUP(AH176,Schichten!$A$5:$G$24,4,FALSE())+IF(VLOOKUP(AH176,Schichten!$A$5:$G$24,4,FALSE())&lt;=VLOOKUP(AH176,Schichten!$A$5:$G$24,3,FALSE()),1,0))</f>
        <v>46559.9166666667</v>
      </c>
      <c r="AM176" s="28" t="n">
        <f aca="false">IF($A176="","",IF(N(AI175)&gt;0,AL175,AM175))</f>
        <v>46558.5833333333</v>
      </c>
      <c r="AN176" s="27" t="n">
        <f aca="false">IF(OR(AK176="",AM176=""),"",(AK176-AM176)*24)</f>
        <v>24</v>
      </c>
      <c r="AO176" s="21" t="n">
        <f aca="false">IF($A176="","",IF(N(AI176)&gt;0,N(AO175)+1,0))</f>
        <v>3</v>
      </c>
      <c r="AP176" s="21" t="n">
        <f aca="false">IF($A176="","",IF(N(AJ176)&gt;0,N(AP175)+1,0))</f>
        <v>0</v>
      </c>
      <c r="AQ176" s="21" t="str">
        <f aca="false">IF($A176="","",IF(WEEKDAY($A176,2)&lt;&gt;7,"",IF(AND(OR(AK176="",N(AK176)&gt;=$A176+16/24,N(AL176)&lt;=$A176+6/24),OR(AM176="",N(AM176)&lt;=$A176+6/24)),1,0)))</f>
        <v/>
      </c>
      <c r="AR176" s="26" t="str">
        <f aca="false">IF($A176="","",IF(INDEX(Muster!$C$10:$BF$10,1,MOD($A176-Einstellungen!$C$6,Einstellungen!$C$7)+1)="","-",INDEX(Muster!$C$10:$BF$10,1,MOD($A176-Einstellungen!$C$6,Einstellungen!$C$7)+1)))</f>
        <v>-</v>
      </c>
      <c r="AS176" s="27" t="n">
        <f aca="false">IF($A176="","",IFERROR(VLOOKUP(AR176,Schichten!$A$5:$G$24,6,FALSE()),0))</f>
        <v>0</v>
      </c>
      <c r="AT176" s="27" t="n">
        <f aca="false">IF($A176="","",IFERROR(VLOOKUP(AR176,Schichten!$A$5:$G$24,7,FALSE()),0))</f>
        <v>0</v>
      </c>
      <c r="AU176" s="28" t="str">
        <f aca="false">IF($A176="","",IF(N(AS176)=0,"",$A176+VLOOKUP(AR176,Schichten!$A$5:$G$24,3,FALSE())))</f>
        <v/>
      </c>
      <c r="AV176" s="28" t="str">
        <f aca="false">IF(AU176="","",$A176+VLOOKUP(AR176,Schichten!$A$5:$G$24,4,FALSE())+IF(VLOOKUP(AR176,Schichten!$A$5:$G$24,4,FALSE())&lt;=VLOOKUP(AR176,Schichten!$A$5:$G$24,3,FALSE()),1,0))</f>
        <v/>
      </c>
      <c r="AW176" s="28" t="str">
        <f aca="false">IF($A176="","",IF(N(AS175)&gt;0,AV175,AW175))</f>
        <v/>
      </c>
      <c r="AX176" s="27" t="str">
        <f aca="false">IF(OR(AU176="",AW176=""),"",(AU176-AW176)*24)</f>
        <v/>
      </c>
      <c r="AY176" s="21" t="n">
        <f aca="false">IF($A176="","",IF(N(AS176)&gt;0,N(AY175)+1,0))</f>
        <v>0</v>
      </c>
      <c r="AZ176" s="21" t="n">
        <f aca="false">IF($A176="","",IF(N(AT176)&gt;0,N(AZ175)+1,0))</f>
        <v>0</v>
      </c>
      <c r="BA176" s="21" t="str">
        <f aca="false">IF($A176="","",IF(WEEKDAY($A176,2)&lt;&gt;7,"",IF(AND(OR(AU176="",N(AU176)&gt;=$A176+16/24,N(AV176)&lt;=$A176+6/24),OR(AW176="",N(AW176)&lt;=$A176+6/24)),1,0)))</f>
        <v/>
      </c>
    </row>
    <row r="177" customFormat="false" ht="15" hidden="false" customHeight="false" outlineLevel="0" collapsed="false">
      <c r="A177" s="25" t="n">
        <f aca="false">IF(YEAR(DATE(Einstellungen!$C$4,1,1)+172)=Einstellungen!$C$4,DATE(Einstellungen!$C$4,1,1)+172,"")</f>
        <v>46560</v>
      </c>
      <c r="B177" s="26" t="str">
        <f aca="false">IF($A177="","",CHOOSE(WEEKDAY($A177,2),"Mo","Di","Mi","Do","Fr","Sa","So"))</f>
        <v>Di</v>
      </c>
      <c r="C177" s="26" t="n">
        <f aca="false">IF($A177="","",MONTH($A177))</f>
        <v>6</v>
      </c>
      <c r="D177" s="26" t="str">
        <f aca="false">IF($A177="","",IF(INDEX(Muster!$C$6:$BF$6,1,MOD($A177-Einstellungen!$C$6,Einstellungen!$C$7)+1)="","-",INDEX(Muster!$C$6:$BF$6,1,MOD($A177-Einstellungen!$C$6,Einstellungen!$C$7)+1)))</f>
        <v>F</v>
      </c>
      <c r="E177" s="27" t="n">
        <f aca="false">IF($A177="","",IFERROR(VLOOKUP(D177,Schichten!$A$5:$G$24,6,FALSE()),0))</f>
        <v>8</v>
      </c>
      <c r="F177" s="27" t="n">
        <f aca="false">IF($A177="","",IFERROR(VLOOKUP(D177,Schichten!$A$5:$G$24,7,FALSE()),0))</f>
        <v>0</v>
      </c>
      <c r="G177" s="28" t="n">
        <f aca="false">IF($A177="","",IF(N(E177)=0,"",$A177+VLOOKUP(D177,Schichten!$A$5:$G$24,3,FALSE())))</f>
        <v>46560.25</v>
      </c>
      <c r="H177" s="28" t="n">
        <f aca="false">IF(G177="","",$A177+VLOOKUP(D177,Schichten!$A$5:$G$24,4,FALSE())+IF(VLOOKUP(D177,Schichten!$A$5:$G$24,4,FALSE())&lt;=VLOOKUP(D177,Schichten!$A$5:$G$24,3,FALSE()),1,0))</f>
        <v>46560.5833333333</v>
      </c>
      <c r="I177" s="28" t="n">
        <f aca="false">IF($A177="","",IF(N(E176)&gt;0,H176,I176))</f>
        <v>46559.5833333333</v>
      </c>
      <c r="J177" s="27" t="n">
        <f aca="false">IF(OR(G177="",I177=""),"",(G177-I177)*24)</f>
        <v>16</v>
      </c>
      <c r="K177" s="21" t="n">
        <f aca="false">IF($A177="","",IF(N(E177)&gt;0,N(K176)+1,0))</f>
        <v>2</v>
      </c>
      <c r="L177" s="21" t="n">
        <f aca="false">IF($A177="","",IF(N(F177)&gt;0,N(L176)+1,0))</f>
        <v>0</v>
      </c>
      <c r="M177" s="21" t="str">
        <f aca="false">IF($A177="","",IF(WEEKDAY($A177,2)&lt;&gt;7,"",IF(AND(OR(G177="",N(G177)&gt;=$A177+16/24,N(H177)&lt;=$A177+6/24),OR(I177="",N(I177)&lt;=$A177+6/24)),1,0)))</f>
        <v/>
      </c>
      <c r="N177" s="26" t="str">
        <f aca="false">IF($A177="","",IF(INDEX(Muster!$C$7:$BF$7,1,MOD($A177-Einstellungen!$C$6,Einstellungen!$C$7)+1)="","-",INDEX(Muster!$C$7:$BF$7,1,MOD($A177-Einstellungen!$C$6,Einstellungen!$C$7)+1)))</f>
        <v>-</v>
      </c>
      <c r="O177" s="27" t="n">
        <f aca="false">IF($A177="","",IFERROR(VLOOKUP(N177,Schichten!$A$5:$G$24,6,FALSE()),0))</f>
        <v>0</v>
      </c>
      <c r="P177" s="27" t="n">
        <f aca="false">IF($A177="","",IFERROR(VLOOKUP(N177,Schichten!$A$5:$G$24,7,FALSE()),0))</f>
        <v>0</v>
      </c>
      <c r="Q177" s="28" t="str">
        <f aca="false">IF($A177="","",IF(N(O177)=0,"",$A177+VLOOKUP(N177,Schichten!$A$5:$G$24,3,FALSE())))</f>
        <v/>
      </c>
      <c r="R177" s="28" t="str">
        <f aca="false">IF(Q177="","",$A177+VLOOKUP(N177,Schichten!$A$5:$G$24,4,FALSE())+IF(VLOOKUP(N177,Schichten!$A$5:$G$24,4,FALSE())&lt;=VLOOKUP(N177,Schichten!$A$5:$G$24,3,FALSE()),1,0))</f>
        <v/>
      </c>
      <c r="S177" s="28" t="n">
        <f aca="false">IF($A177="","",IF(N(O176)&gt;0,R176,S176))</f>
        <v>46559.25</v>
      </c>
      <c r="T177" s="27" t="str">
        <f aca="false">IF(OR(Q177="",S177=""),"",(Q177-S177)*24)</f>
        <v/>
      </c>
      <c r="U177" s="21" t="n">
        <f aca="false">IF($A177="","",IF(N(O177)&gt;0,N(U176)+1,0))</f>
        <v>0</v>
      </c>
      <c r="V177" s="21" t="n">
        <f aca="false">IF($A177="","",IF(N(P177)&gt;0,N(V176)+1,0))</f>
        <v>0</v>
      </c>
      <c r="W177" s="21" t="str">
        <f aca="false">IF($A177="","",IF(WEEKDAY($A177,2)&lt;&gt;7,"",IF(AND(OR(Q177="",N(Q177)&gt;=$A177+16/24,N(R177)&lt;=$A177+6/24),OR(S177="",N(S177)&lt;=$A177+6/24)),1,0)))</f>
        <v/>
      </c>
      <c r="X177" s="26" t="str">
        <f aca="false">IF($A177="","",IF(INDEX(Muster!$C$8:$BF$8,1,MOD($A177-Einstellungen!$C$6,Einstellungen!$C$7)+1)="","-",INDEX(Muster!$C$8:$BF$8,1,MOD($A177-Einstellungen!$C$6,Einstellungen!$C$7)+1)))</f>
        <v>N</v>
      </c>
      <c r="Y177" s="27" t="n">
        <f aca="false">IF($A177="","",IFERROR(VLOOKUP(X177,Schichten!$A$5:$G$24,6,FALSE()),0))</f>
        <v>8</v>
      </c>
      <c r="Z177" s="27" t="n">
        <f aca="false">IF($A177="","",IFERROR(VLOOKUP(X177,Schichten!$A$5:$G$24,7,FALSE()),0))</f>
        <v>7</v>
      </c>
      <c r="AA177" s="28" t="n">
        <f aca="false">IF($A177="","",IF(N(Y177)=0,"",$A177+VLOOKUP(X177,Schichten!$A$5:$G$24,3,FALSE())))</f>
        <v>46560.9166666667</v>
      </c>
      <c r="AB177" s="28" t="n">
        <f aca="false">IF(AA177="","",$A177+VLOOKUP(X177,Schichten!$A$5:$G$24,4,FALSE())+IF(VLOOKUP(X177,Schichten!$A$5:$G$24,4,FALSE())&lt;=VLOOKUP(X177,Schichten!$A$5:$G$24,3,FALSE()),1,0))</f>
        <v>46561.25</v>
      </c>
      <c r="AC177" s="28" t="n">
        <f aca="false">IF($A177="","",IF(N(Y176)&gt;0,AB176,AC176))</f>
        <v>46560.25</v>
      </c>
      <c r="AD177" s="27" t="n">
        <f aca="false">IF(OR(AA177="",AC177=""),"",(AA177-AC177)*24)</f>
        <v>16</v>
      </c>
      <c r="AE177" s="21" t="n">
        <f aca="false">IF($A177="","",IF(N(Y177)&gt;0,N(AE176)+1,0))</f>
        <v>6</v>
      </c>
      <c r="AF177" s="21" t="n">
        <f aca="false">IF($A177="","",IF(N(Z177)&gt;0,N(AF176)+1,0))</f>
        <v>2</v>
      </c>
      <c r="AG177" s="21" t="str">
        <f aca="false">IF($A177="","",IF(WEEKDAY($A177,2)&lt;&gt;7,"",IF(AND(OR(AA177="",N(AA177)&gt;=$A177+16/24,N(AB177)&lt;=$A177+6/24),OR(AC177="",N(AC177)&lt;=$A177+6/24)),1,0)))</f>
        <v/>
      </c>
      <c r="AH177" s="26" t="str">
        <f aca="false">IF($A177="","",IF(INDEX(Muster!$C$9:$BF$9,1,MOD($A177-Einstellungen!$C$6,Einstellungen!$C$7)+1)="","-",INDEX(Muster!$C$9:$BF$9,1,MOD($A177-Einstellungen!$C$6,Einstellungen!$C$7)+1)))</f>
        <v>S</v>
      </c>
      <c r="AI177" s="27" t="n">
        <f aca="false">IF($A177="","",IFERROR(VLOOKUP(AH177,Schichten!$A$5:$G$24,6,FALSE()),0))</f>
        <v>8</v>
      </c>
      <c r="AJ177" s="27" t="n">
        <f aca="false">IF($A177="","",IFERROR(VLOOKUP(AH177,Schichten!$A$5:$G$24,7,FALSE()),0))</f>
        <v>0</v>
      </c>
      <c r="AK177" s="28" t="n">
        <f aca="false">IF($A177="","",IF(N(AI177)=0,"",$A177+VLOOKUP(AH177,Schichten!$A$5:$G$24,3,FALSE())))</f>
        <v>46560.5833333333</v>
      </c>
      <c r="AL177" s="28" t="n">
        <f aca="false">IF(AK177="","",$A177+VLOOKUP(AH177,Schichten!$A$5:$G$24,4,FALSE())+IF(VLOOKUP(AH177,Schichten!$A$5:$G$24,4,FALSE())&lt;=VLOOKUP(AH177,Schichten!$A$5:$G$24,3,FALSE()),1,0))</f>
        <v>46560.9166666667</v>
      </c>
      <c r="AM177" s="28" t="n">
        <f aca="false">IF($A177="","",IF(N(AI176)&gt;0,AL176,AM176))</f>
        <v>46559.9166666667</v>
      </c>
      <c r="AN177" s="27" t="n">
        <f aca="false">IF(OR(AK177="",AM177=""),"",(AK177-AM177)*24)</f>
        <v>16</v>
      </c>
      <c r="AO177" s="21" t="n">
        <f aca="false">IF($A177="","",IF(N(AI177)&gt;0,N(AO176)+1,0))</f>
        <v>4</v>
      </c>
      <c r="AP177" s="21" t="n">
        <f aca="false">IF($A177="","",IF(N(AJ177)&gt;0,N(AP176)+1,0))</f>
        <v>0</v>
      </c>
      <c r="AQ177" s="21" t="str">
        <f aca="false">IF($A177="","",IF(WEEKDAY($A177,2)&lt;&gt;7,"",IF(AND(OR(AK177="",N(AK177)&gt;=$A177+16/24,N(AL177)&lt;=$A177+6/24),OR(AM177="",N(AM177)&lt;=$A177+6/24)),1,0)))</f>
        <v/>
      </c>
      <c r="AR177" s="26" t="str">
        <f aca="false">IF($A177="","",IF(INDEX(Muster!$C$10:$BF$10,1,MOD($A177-Einstellungen!$C$6,Einstellungen!$C$7)+1)="","-",INDEX(Muster!$C$10:$BF$10,1,MOD($A177-Einstellungen!$C$6,Einstellungen!$C$7)+1)))</f>
        <v>-</v>
      </c>
      <c r="AS177" s="27" t="n">
        <f aca="false">IF($A177="","",IFERROR(VLOOKUP(AR177,Schichten!$A$5:$G$24,6,FALSE()),0))</f>
        <v>0</v>
      </c>
      <c r="AT177" s="27" t="n">
        <f aca="false">IF($A177="","",IFERROR(VLOOKUP(AR177,Schichten!$A$5:$G$24,7,FALSE()),0))</f>
        <v>0</v>
      </c>
      <c r="AU177" s="28" t="str">
        <f aca="false">IF($A177="","",IF(N(AS177)=0,"",$A177+VLOOKUP(AR177,Schichten!$A$5:$G$24,3,FALSE())))</f>
        <v/>
      </c>
      <c r="AV177" s="28" t="str">
        <f aca="false">IF(AU177="","",$A177+VLOOKUP(AR177,Schichten!$A$5:$G$24,4,FALSE())+IF(VLOOKUP(AR177,Schichten!$A$5:$G$24,4,FALSE())&lt;=VLOOKUP(AR177,Schichten!$A$5:$G$24,3,FALSE()),1,0))</f>
        <v/>
      </c>
      <c r="AW177" s="28" t="str">
        <f aca="false">IF($A177="","",IF(N(AS176)&gt;0,AV176,AW176))</f>
        <v/>
      </c>
      <c r="AX177" s="27" t="str">
        <f aca="false">IF(OR(AU177="",AW177=""),"",(AU177-AW177)*24)</f>
        <v/>
      </c>
      <c r="AY177" s="21" t="n">
        <f aca="false">IF($A177="","",IF(N(AS177)&gt;0,N(AY176)+1,0))</f>
        <v>0</v>
      </c>
      <c r="AZ177" s="21" t="n">
        <f aca="false">IF($A177="","",IF(N(AT177)&gt;0,N(AZ176)+1,0))</f>
        <v>0</v>
      </c>
      <c r="BA177" s="21" t="str">
        <f aca="false">IF($A177="","",IF(WEEKDAY($A177,2)&lt;&gt;7,"",IF(AND(OR(AU177="",N(AU177)&gt;=$A177+16/24,N(AV177)&lt;=$A177+6/24),OR(AW177="",N(AW177)&lt;=$A177+6/24)),1,0)))</f>
        <v/>
      </c>
    </row>
    <row r="178" customFormat="false" ht="15" hidden="false" customHeight="false" outlineLevel="0" collapsed="false">
      <c r="A178" s="25" t="n">
        <f aca="false">IF(YEAR(DATE(Einstellungen!$C$4,1,1)+173)=Einstellungen!$C$4,DATE(Einstellungen!$C$4,1,1)+173,"")</f>
        <v>46561</v>
      </c>
      <c r="B178" s="26" t="str">
        <f aca="false">IF($A178="","",CHOOSE(WEEKDAY($A178,2),"Mo","Di","Mi","Do","Fr","Sa","So"))</f>
        <v>Mi</v>
      </c>
      <c r="C178" s="26" t="n">
        <f aca="false">IF($A178="","",MONTH($A178))</f>
        <v>6</v>
      </c>
      <c r="D178" s="26" t="str">
        <f aca="false">IF($A178="","",IF(INDEX(Muster!$C$6:$BF$6,1,MOD($A178-Einstellungen!$C$6,Einstellungen!$C$7)+1)="","-",INDEX(Muster!$C$6:$BF$6,1,MOD($A178-Einstellungen!$C$6,Einstellungen!$C$7)+1)))</f>
        <v>S</v>
      </c>
      <c r="E178" s="27" t="n">
        <f aca="false">IF($A178="","",IFERROR(VLOOKUP(D178,Schichten!$A$5:$G$24,6,FALSE()),0))</f>
        <v>8</v>
      </c>
      <c r="F178" s="27" t="n">
        <f aca="false">IF($A178="","",IFERROR(VLOOKUP(D178,Schichten!$A$5:$G$24,7,FALSE()),0))</f>
        <v>0</v>
      </c>
      <c r="G178" s="28" t="n">
        <f aca="false">IF($A178="","",IF(N(E178)=0,"",$A178+VLOOKUP(D178,Schichten!$A$5:$G$24,3,FALSE())))</f>
        <v>46561.5833333333</v>
      </c>
      <c r="H178" s="28" t="n">
        <f aca="false">IF(G178="","",$A178+VLOOKUP(D178,Schichten!$A$5:$G$24,4,FALSE())+IF(VLOOKUP(D178,Schichten!$A$5:$G$24,4,FALSE())&lt;=VLOOKUP(D178,Schichten!$A$5:$G$24,3,FALSE()),1,0))</f>
        <v>46561.9166666667</v>
      </c>
      <c r="I178" s="28" t="n">
        <f aca="false">IF($A178="","",IF(N(E177)&gt;0,H177,I177))</f>
        <v>46560.5833333333</v>
      </c>
      <c r="J178" s="27" t="n">
        <f aca="false">IF(OR(G178="",I178=""),"",(G178-I178)*24)</f>
        <v>24</v>
      </c>
      <c r="K178" s="21" t="n">
        <f aca="false">IF($A178="","",IF(N(E178)&gt;0,N(K177)+1,0))</f>
        <v>3</v>
      </c>
      <c r="L178" s="21" t="n">
        <f aca="false">IF($A178="","",IF(N(F178)&gt;0,N(L177)+1,0))</f>
        <v>0</v>
      </c>
      <c r="M178" s="21" t="str">
        <f aca="false">IF($A178="","",IF(WEEKDAY($A178,2)&lt;&gt;7,"",IF(AND(OR(G178="",N(G178)&gt;=$A178+16/24,N(H178)&lt;=$A178+6/24),OR(I178="",N(I178)&lt;=$A178+6/24)),1,0)))</f>
        <v/>
      </c>
      <c r="N178" s="26" t="str">
        <f aca="false">IF($A178="","",IF(INDEX(Muster!$C$7:$BF$7,1,MOD($A178-Einstellungen!$C$6,Einstellungen!$C$7)+1)="","-",INDEX(Muster!$C$7:$BF$7,1,MOD($A178-Einstellungen!$C$6,Einstellungen!$C$7)+1)))</f>
        <v>F</v>
      </c>
      <c r="O178" s="27" t="n">
        <f aca="false">IF($A178="","",IFERROR(VLOOKUP(N178,Schichten!$A$5:$G$24,6,FALSE()),0))</f>
        <v>8</v>
      </c>
      <c r="P178" s="27" t="n">
        <f aca="false">IF($A178="","",IFERROR(VLOOKUP(N178,Schichten!$A$5:$G$24,7,FALSE()),0))</f>
        <v>0</v>
      </c>
      <c r="Q178" s="28" t="n">
        <f aca="false">IF($A178="","",IF(N(O178)=0,"",$A178+VLOOKUP(N178,Schichten!$A$5:$G$24,3,FALSE())))</f>
        <v>46561.25</v>
      </c>
      <c r="R178" s="28" t="n">
        <f aca="false">IF(Q178="","",$A178+VLOOKUP(N178,Schichten!$A$5:$G$24,4,FALSE())+IF(VLOOKUP(N178,Schichten!$A$5:$G$24,4,FALSE())&lt;=VLOOKUP(N178,Schichten!$A$5:$G$24,3,FALSE()),1,0))</f>
        <v>46561.5833333333</v>
      </c>
      <c r="S178" s="28" t="n">
        <f aca="false">IF($A178="","",IF(N(O177)&gt;0,R177,S177))</f>
        <v>46559.25</v>
      </c>
      <c r="T178" s="27" t="n">
        <f aca="false">IF(OR(Q178="",S178=""),"",(Q178-S178)*24)</f>
        <v>48</v>
      </c>
      <c r="U178" s="21" t="n">
        <f aca="false">IF($A178="","",IF(N(O178)&gt;0,N(U177)+1,0))</f>
        <v>1</v>
      </c>
      <c r="V178" s="21" t="n">
        <f aca="false">IF($A178="","",IF(N(P178)&gt;0,N(V177)+1,0))</f>
        <v>0</v>
      </c>
      <c r="W178" s="21" t="str">
        <f aca="false">IF($A178="","",IF(WEEKDAY($A178,2)&lt;&gt;7,"",IF(AND(OR(Q178="",N(Q178)&gt;=$A178+16/24,N(R178)&lt;=$A178+6/24),OR(S178="",N(S178)&lt;=$A178+6/24)),1,0)))</f>
        <v/>
      </c>
      <c r="X178" s="26" t="str">
        <f aca="false">IF($A178="","",IF(INDEX(Muster!$C$8:$BF$8,1,MOD($A178-Einstellungen!$C$6,Einstellungen!$C$7)+1)="","-",INDEX(Muster!$C$8:$BF$8,1,MOD($A178-Einstellungen!$C$6,Einstellungen!$C$7)+1)))</f>
        <v>-</v>
      </c>
      <c r="Y178" s="27" t="n">
        <f aca="false">IF($A178="","",IFERROR(VLOOKUP(X178,Schichten!$A$5:$G$24,6,FALSE()),0))</f>
        <v>0</v>
      </c>
      <c r="Z178" s="27" t="n">
        <f aca="false">IF($A178="","",IFERROR(VLOOKUP(X178,Schichten!$A$5:$G$24,7,FALSE()),0))</f>
        <v>0</v>
      </c>
      <c r="AA178" s="28" t="str">
        <f aca="false">IF($A178="","",IF(N(Y178)=0,"",$A178+VLOOKUP(X178,Schichten!$A$5:$G$24,3,FALSE())))</f>
        <v/>
      </c>
      <c r="AB178" s="28" t="str">
        <f aca="false">IF(AA178="","",$A178+VLOOKUP(X178,Schichten!$A$5:$G$24,4,FALSE())+IF(VLOOKUP(X178,Schichten!$A$5:$G$24,4,FALSE())&lt;=VLOOKUP(X178,Schichten!$A$5:$G$24,3,FALSE()),1,0))</f>
        <v/>
      </c>
      <c r="AC178" s="28" t="n">
        <f aca="false">IF($A178="","",IF(N(Y177)&gt;0,AB177,AC177))</f>
        <v>46561.25</v>
      </c>
      <c r="AD178" s="27" t="str">
        <f aca="false">IF(OR(AA178="",AC178=""),"",(AA178-AC178)*24)</f>
        <v/>
      </c>
      <c r="AE178" s="21" t="n">
        <f aca="false">IF($A178="","",IF(N(Y178)&gt;0,N(AE177)+1,0))</f>
        <v>0</v>
      </c>
      <c r="AF178" s="21" t="n">
        <f aca="false">IF($A178="","",IF(N(Z178)&gt;0,N(AF177)+1,0))</f>
        <v>0</v>
      </c>
      <c r="AG178" s="21" t="str">
        <f aca="false">IF($A178="","",IF(WEEKDAY($A178,2)&lt;&gt;7,"",IF(AND(OR(AA178="",N(AA178)&gt;=$A178+16/24,N(AB178)&lt;=$A178+6/24),OR(AC178="",N(AC178)&lt;=$A178+6/24)),1,0)))</f>
        <v/>
      </c>
      <c r="AH178" s="26" t="str">
        <f aca="false">IF($A178="","",IF(INDEX(Muster!$C$9:$BF$9,1,MOD($A178-Einstellungen!$C$6,Einstellungen!$C$7)+1)="","-",INDEX(Muster!$C$9:$BF$9,1,MOD($A178-Einstellungen!$C$6,Einstellungen!$C$7)+1)))</f>
        <v>N</v>
      </c>
      <c r="AI178" s="27" t="n">
        <f aca="false">IF($A178="","",IFERROR(VLOOKUP(AH178,Schichten!$A$5:$G$24,6,FALSE()),0))</f>
        <v>8</v>
      </c>
      <c r="AJ178" s="27" t="n">
        <f aca="false">IF($A178="","",IFERROR(VLOOKUP(AH178,Schichten!$A$5:$G$24,7,FALSE()),0))</f>
        <v>7</v>
      </c>
      <c r="AK178" s="28" t="n">
        <f aca="false">IF($A178="","",IF(N(AI178)=0,"",$A178+VLOOKUP(AH178,Schichten!$A$5:$G$24,3,FALSE())))</f>
        <v>46561.9166666667</v>
      </c>
      <c r="AL178" s="28" t="n">
        <f aca="false">IF(AK178="","",$A178+VLOOKUP(AH178,Schichten!$A$5:$G$24,4,FALSE())+IF(VLOOKUP(AH178,Schichten!$A$5:$G$24,4,FALSE())&lt;=VLOOKUP(AH178,Schichten!$A$5:$G$24,3,FALSE()),1,0))</f>
        <v>46562.25</v>
      </c>
      <c r="AM178" s="28" t="n">
        <f aca="false">IF($A178="","",IF(N(AI177)&gt;0,AL177,AM177))</f>
        <v>46560.9166666667</v>
      </c>
      <c r="AN178" s="27" t="n">
        <f aca="false">IF(OR(AK178="",AM178=""),"",(AK178-AM178)*24)</f>
        <v>24</v>
      </c>
      <c r="AO178" s="21" t="n">
        <f aca="false">IF($A178="","",IF(N(AI178)&gt;0,N(AO177)+1,0))</f>
        <v>5</v>
      </c>
      <c r="AP178" s="21" t="n">
        <f aca="false">IF($A178="","",IF(N(AJ178)&gt;0,N(AP177)+1,0))</f>
        <v>1</v>
      </c>
      <c r="AQ178" s="21" t="str">
        <f aca="false">IF($A178="","",IF(WEEKDAY($A178,2)&lt;&gt;7,"",IF(AND(OR(AK178="",N(AK178)&gt;=$A178+16/24,N(AL178)&lt;=$A178+6/24),OR(AM178="",N(AM178)&lt;=$A178+6/24)),1,0)))</f>
        <v/>
      </c>
      <c r="AR178" s="26" t="str">
        <f aca="false">IF($A178="","",IF(INDEX(Muster!$C$10:$BF$10,1,MOD($A178-Einstellungen!$C$6,Einstellungen!$C$7)+1)="","-",INDEX(Muster!$C$10:$BF$10,1,MOD($A178-Einstellungen!$C$6,Einstellungen!$C$7)+1)))</f>
        <v>-</v>
      </c>
      <c r="AS178" s="27" t="n">
        <f aca="false">IF($A178="","",IFERROR(VLOOKUP(AR178,Schichten!$A$5:$G$24,6,FALSE()),0))</f>
        <v>0</v>
      </c>
      <c r="AT178" s="27" t="n">
        <f aca="false">IF($A178="","",IFERROR(VLOOKUP(AR178,Schichten!$A$5:$G$24,7,FALSE()),0))</f>
        <v>0</v>
      </c>
      <c r="AU178" s="28" t="str">
        <f aca="false">IF($A178="","",IF(N(AS178)=0,"",$A178+VLOOKUP(AR178,Schichten!$A$5:$G$24,3,FALSE())))</f>
        <v/>
      </c>
      <c r="AV178" s="28" t="str">
        <f aca="false">IF(AU178="","",$A178+VLOOKUP(AR178,Schichten!$A$5:$G$24,4,FALSE())+IF(VLOOKUP(AR178,Schichten!$A$5:$G$24,4,FALSE())&lt;=VLOOKUP(AR178,Schichten!$A$5:$G$24,3,FALSE()),1,0))</f>
        <v/>
      </c>
      <c r="AW178" s="28" t="str">
        <f aca="false">IF($A178="","",IF(N(AS177)&gt;0,AV177,AW177))</f>
        <v/>
      </c>
      <c r="AX178" s="27" t="str">
        <f aca="false">IF(OR(AU178="",AW178=""),"",(AU178-AW178)*24)</f>
        <v/>
      </c>
      <c r="AY178" s="21" t="n">
        <f aca="false">IF($A178="","",IF(N(AS178)&gt;0,N(AY177)+1,0))</f>
        <v>0</v>
      </c>
      <c r="AZ178" s="21" t="n">
        <f aca="false">IF($A178="","",IF(N(AT178)&gt;0,N(AZ177)+1,0))</f>
        <v>0</v>
      </c>
      <c r="BA178" s="21" t="str">
        <f aca="false">IF($A178="","",IF(WEEKDAY($A178,2)&lt;&gt;7,"",IF(AND(OR(AU178="",N(AU178)&gt;=$A178+16/24,N(AV178)&lt;=$A178+6/24),OR(AW178="",N(AW178)&lt;=$A178+6/24)),1,0)))</f>
        <v/>
      </c>
    </row>
    <row r="179" customFormat="false" ht="15" hidden="false" customHeight="false" outlineLevel="0" collapsed="false">
      <c r="A179" s="25" t="n">
        <f aca="false">IF(YEAR(DATE(Einstellungen!$C$4,1,1)+174)=Einstellungen!$C$4,DATE(Einstellungen!$C$4,1,1)+174,"")</f>
        <v>46562</v>
      </c>
      <c r="B179" s="26" t="str">
        <f aca="false">IF($A179="","",CHOOSE(WEEKDAY($A179,2),"Mo","Di","Mi","Do","Fr","Sa","So"))</f>
        <v>Do</v>
      </c>
      <c r="C179" s="26" t="n">
        <f aca="false">IF($A179="","",MONTH($A179))</f>
        <v>6</v>
      </c>
      <c r="D179" s="26" t="str">
        <f aca="false">IF($A179="","",IF(INDEX(Muster!$C$6:$BF$6,1,MOD($A179-Einstellungen!$C$6,Einstellungen!$C$7)+1)="","-",INDEX(Muster!$C$6:$BF$6,1,MOD($A179-Einstellungen!$C$6,Einstellungen!$C$7)+1)))</f>
        <v>S</v>
      </c>
      <c r="E179" s="27" t="n">
        <f aca="false">IF($A179="","",IFERROR(VLOOKUP(D179,Schichten!$A$5:$G$24,6,FALSE()),0))</f>
        <v>8</v>
      </c>
      <c r="F179" s="27" t="n">
        <f aca="false">IF($A179="","",IFERROR(VLOOKUP(D179,Schichten!$A$5:$G$24,7,FALSE()),0))</f>
        <v>0</v>
      </c>
      <c r="G179" s="28" t="n">
        <f aca="false">IF($A179="","",IF(N(E179)=0,"",$A179+VLOOKUP(D179,Schichten!$A$5:$G$24,3,FALSE())))</f>
        <v>46562.5833333333</v>
      </c>
      <c r="H179" s="28" t="n">
        <f aca="false">IF(G179="","",$A179+VLOOKUP(D179,Schichten!$A$5:$G$24,4,FALSE())+IF(VLOOKUP(D179,Schichten!$A$5:$G$24,4,FALSE())&lt;=VLOOKUP(D179,Schichten!$A$5:$G$24,3,FALSE()),1,0))</f>
        <v>46562.9166666667</v>
      </c>
      <c r="I179" s="28" t="n">
        <f aca="false">IF($A179="","",IF(N(E178)&gt;0,H178,I178))</f>
        <v>46561.9166666667</v>
      </c>
      <c r="J179" s="27" t="n">
        <f aca="false">IF(OR(G179="",I179=""),"",(G179-I179)*24)</f>
        <v>16</v>
      </c>
      <c r="K179" s="21" t="n">
        <f aca="false">IF($A179="","",IF(N(E179)&gt;0,N(K178)+1,0))</f>
        <v>4</v>
      </c>
      <c r="L179" s="21" t="n">
        <f aca="false">IF($A179="","",IF(N(F179)&gt;0,N(L178)+1,0))</f>
        <v>0</v>
      </c>
      <c r="M179" s="21" t="str">
        <f aca="false">IF($A179="","",IF(WEEKDAY($A179,2)&lt;&gt;7,"",IF(AND(OR(G179="",N(G179)&gt;=$A179+16/24,N(H179)&lt;=$A179+6/24),OR(I179="",N(I179)&lt;=$A179+6/24)),1,0)))</f>
        <v/>
      </c>
      <c r="N179" s="26" t="str">
        <f aca="false">IF($A179="","",IF(INDEX(Muster!$C$7:$BF$7,1,MOD($A179-Einstellungen!$C$6,Einstellungen!$C$7)+1)="","-",INDEX(Muster!$C$7:$BF$7,1,MOD($A179-Einstellungen!$C$6,Einstellungen!$C$7)+1)))</f>
        <v>F</v>
      </c>
      <c r="O179" s="27" t="n">
        <f aca="false">IF($A179="","",IFERROR(VLOOKUP(N179,Schichten!$A$5:$G$24,6,FALSE()),0))</f>
        <v>8</v>
      </c>
      <c r="P179" s="27" t="n">
        <f aca="false">IF($A179="","",IFERROR(VLOOKUP(N179,Schichten!$A$5:$G$24,7,FALSE()),0))</f>
        <v>0</v>
      </c>
      <c r="Q179" s="28" t="n">
        <f aca="false">IF($A179="","",IF(N(O179)=0,"",$A179+VLOOKUP(N179,Schichten!$A$5:$G$24,3,FALSE())))</f>
        <v>46562.25</v>
      </c>
      <c r="R179" s="28" t="n">
        <f aca="false">IF(Q179="","",$A179+VLOOKUP(N179,Schichten!$A$5:$G$24,4,FALSE())+IF(VLOOKUP(N179,Schichten!$A$5:$G$24,4,FALSE())&lt;=VLOOKUP(N179,Schichten!$A$5:$G$24,3,FALSE()),1,0))</f>
        <v>46562.5833333333</v>
      </c>
      <c r="S179" s="28" t="n">
        <f aca="false">IF($A179="","",IF(N(O178)&gt;0,R178,S178))</f>
        <v>46561.5833333333</v>
      </c>
      <c r="T179" s="27" t="n">
        <f aca="false">IF(OR(Q179="",S179=""),"",(Q179-S179)*24)</f>
        <v>16</v>
      </c>
      <c r="U179" s="21" t="n">
        <f aca="false">IF($A179="","",IF(N(O179)&gt;0,N(U178)+1,0))</f>
        <v>2</v>
      </c>
      <c r="V179" s="21" t="n">
        <f aca="false">IF($A179="","",IF(N(P179)&gt;0,N(V178)+1,0))</f>
        <v>0</v>
      </c>
      <c r="W179" s="21" t="str">
        <f aca="false">IF($A179="","",IF(WEEKDAY($A179,2)&lt;&gt;7,"",IF(AND(OR(Q179="",N(Q179)&gt;=$A179+16/24,N(R179)&lt;=$A179+6/24),OR(S179="",N(S179)&lt;=$A179+6/24)),1,0)))</f>
        <v/>
      </c>
      <c r="X179" s="26" t="str">
        <f aca="false">IF($A179="","",IF(INDEX(Muster!$C$8:$BF$8,1,MOD($A179-Einstellungen!$C$6,Einstellungen!$C$7)+1)="","-",INDEX(Muster!$C$8:$BF$8,1,MOD($A179-Einstellungen!$C$6,Einstellungen!$C$7)+1)))</f>
        <v>-</v>
      </c>
      <c r="Y179" s="27" t="n">
        <f aca="false">IF($A179="","",IFERROR(VLOOKUP(X179,Schichten!$A$5:$G$24,6,FALSE()),0))</f>
        <v>0</v>
      </c>
      <c r="Z179" s="27" t="n">
        <f aca="false">IF($A179="","",IFERROR(VLOOKUP(X179,Schichten!$A$5:$G$24,7,FALSE()),0))</f>
        <v>0</v>
      </c>
      <c r="AA179" s="28" t="str">
        <f aca="false">IF($A179="","",IF(N(Y179)=0,"",$A179+VLOOKUP(X179,Schichten!$A$5:$G$24,3,FALSE())))</f>
        <v/>
      </c>
      <c r="AB179" s="28" t="str">
        <f aca="false">IF(AA179="","",$A179+VLOOKUP(X179,Schichten!$A$5:$G$24,4,FALSE())+IF(VLOOKUP(X179,Schichten!$A$5:$G$24,4,FALSE())&lt;=VLOOKUP(X179,Schichten!$A$5:$G$24,3,FALSE()),1,0))</f>
        <v/>
      </c>
      <c r="AC179" s="28" t="n">
        <f aca="false">IF($A179="","",IF(N(Y178)&gt;0,AB178,AC178))</f>
        <v>46561.25</v>
      </c>
      <c r="AD179" s="27" t="str">
        <f aca="false">IF(OR(AA179="",AC179=""),"",(AA179-AC179)*24)</f>
        <v/>
      </c>
      <c r="AE179" s="21" t="n">
        <f aca="false">IF($A179="","",IF(N(Y179)&gt;0,N(AE178)+1,0))</f>
        <v>0</v>
      </c>
      <c r="AF179" s="21" t="n">
        <f aca="false">IF($A179="","",IF(N(Z179)&gt;0,N(AF178)+1,0))</f>
        <v>0</v>
      </c>
      <c r="AG179" s="21" t="str">
        <f aca="false">IF($A179="","",IF(WEEKDAY($A179,2)&lt;&gt;7,"",IF(AND(OR(AA179="",N(AA179)&gt;=$A179+16/24,N(AB179)&lt;=$A179+6/24),OR(AC179="",N(AC179)&lt;=$A179+6/24)),1,0)))</f>
        <v/>
      </c>
      <c r="AH179" s="26" t="str">
        <f aca="false">IF($A179="","",IF(INDEX(Muster!$C$9:$BF$9,1,MOD($A179-Einstellungen!$C$6,Einstellungen!$C$7)+1)="","-",INDEX(Muster!$C$9:$BF$9,1,MOD($A179-Einstellungen!$C$6,Einstellungen!$C$7)+1)))</f>
        <v>N</v>
      </c>
      <c r="AI179" s="27" t="n">
        <f aca="false">IF($A179="","",IFERROR(VLOOKUP(AH179,Schichten!$A$5:$G$24,6,FALSE()),0))</f>
        <v>8</v>
      </c>
      <c r="AJ179" s="27" t="n">
        <f aca="false">IF($A179="","",IFERROR(VLOOKUP(AH179,Schichten!$A$5:$G$24,7,FALSE()),0))</f>
        <v>7</v>
      </c>
      <c r="AK179" s="28" t="n">
        <f aca="false">IF($A179="","",IF(N(AI179)=0,"",$A179+VLOOKUP(AH179,Schichten!$A$5:$G$24,3,FALSE())))</f>
        <v>46562.9166666667</v>
      </c>
      <c r="AL179" s="28" t="n">
        <f aca="false">IF(AK179="","",$A179+VLOOKUP(AH179,Schichten!$A$5:$G$24,4,FALSE())+IF(VLOOKUP(AH179,Schichten!$A$5:$G$24,4,FALSE())&lt;=VLOOKUP(AH179,Schichten!$A$5:$G$24,3,FALSE()),1,0))</f>
        <v>46563.25</v>
      </c>
      <c r="AM179" s="28" t="n">
        <f aca="false">IF($A179="","",IF(N(AI178)&gt;0,AL178,AM178))</f>
        <v>46562.25</v>
      </c>
      <c r="AN179" s="27" t="n">
        <f aca="false">IF(OR(AK179="",AM179=""),"",(AK179-AM179)*24)</f>
        <v>16</v>
      </c>
      <c r="AO179" s="21" t="n">
        <f aca="false">IF($A179="","",IF(N(AI179)&gt;0,N(AO178)+1,0))</f>
        <v>6</v>
      </c>
      <c r="AP179" s="21" t="n">
        <f aca="false">IF($A179="","",IF(N(AJ179)&gt;0,N(AP178)+1,0))</f>
        <v>2</v>
      </c>
      <c r="AQ179" s="21" t="str">
        <f aca="false">IF($A179="","",IF(WEEKDAY($A179,2)&lt;&gt;7,"",IF(AND(OR(AK179="",N(AK179)&gt;=$A179+16/24,N(AL179)&lt;=$A179+6/24),OR(AM179="",N(AM179)&lt;=$A179+6/24)),1,0)))</f>
        <v/>
      </c>
      <c r="AR179" s="26" t="str">
        <f aca="false">IF($A179="","",IF(INDEX(Muster!$C$10:$BF$10,1,MOD($A179-Einstellungen!$C$6,Einstellungen!$C$7)+1)="","-",INDEX(Muster!$C$10:$BF$10,1,MOD($A179-Einstellungen!$C$6,Einstellungen!$C$7)+1)))</f>
        <v>-</v>
      </c>
      <c r="AS179" s="27" t="n">
        <f aca="false">IF($A179="","",IFERROR(VLOOKUP(AR179,Schichten!$A$5:$G$24,6,FALSE()),0))</f>
        <v>0</v>
      </c>
      <c r="AT179" s="27" t="n">
        <f aca="false">IF($A179="","",IFERROR(VLOOKUP(AR179,Schichten!$A$5:$G$24,7,FALSE()),0))</f>
        <v>0</v>
      </c>
      <c r="AU179" s="28" t="str">
        <f aca="false">IF($A179="","",IF(N(AS179)=0,"",$A179+VLOOKUP(AR179,Schichten!$A$5:$G$24,3,FALSE())))</f>
        <v/>
      </c>
      <c r="AV179" s="28" t="str">
        <f aca="false">IF(AU179="","",$A179+VLOOKUP(AR179,Schichten!$A$5:$G$24,4,FALSE())+IF(VLOOKUP(AR179,Schichten!$A$5:$G$24,4,FALSE())&lt;=VLOOKUP(AR179,Schichten!$A$5:$G$24,3,FALSE()),1,0))</f>
        <v/>
      </c>
      <c r="AW179" s="28" t="str">
        <f aca="false">IF($A179="","",IF(N(AS178)&gt;0,AV178,AW178))</f>
        <v/>
      </c>
      <c r="AX179" s="27" t="str">
        <f aca="false">IF(OR(AU179="",AW179=""),"",(AU179-AW179)*24)</f>
        <v/>
      </c>
      <c r="AY179" s="21" t="n">
        <f aca="false">IF($A179="","",IF(N(AS179)&gt;0,N(AY178)+1,0))</f>
        <v>0</v>
      </c>
      <c r="AZ179" s="21" t="n">
        <f aca="false">IF($A179="","",IF(N(AT179)&gt;0,N(AZ178)+1,0))</f>
        <v>0</v>
      </c>
      <c r="BA179" s="21" t="str">
        <f aca="false">IF($A179="","",IF(WEEKDAY($A179,2)&lt;&gt;7,"",IF(AND(OR(AU179="",N(AU179)&gt;=$A179+16/24,N(AV179)&lt;=$A179+6/24),OR(AW179="",N(AW179)&lt;=$A179+6/24)),1,0)))</f>
        <v/>
      </c>
    </row>
    <row r="180" customFormat="false" ht="15" hidden="false" customHeight="false" outlineLevel="0" collapsed="false">
      <c r="A180" s="25" t="n">
        <f aca="false">IF(YEAR(DATE(Einstellungen!$C$4,1,1)+175)=Einstellungen!$C$4,DATE(Einstellungen!$C$4,1,1)+175,"")</f>
        <v>46563</v>
      </c>
      <c r="B180" s="26" t="str">
        <f aca="false">IF($A180="","",CHOOSE(WEEKDAY($A180,2),"Mo","Di","Mi","Do","Fr","Sa","So"))</f>
        <v>Fr</v>
      </c>
      <c r="C180" s="26" t="n">
        <f aca="false">IF($A180="","",MONTH($A180))</f>
        <v>6</v>
      </c>
      <c r="D180" s="26" t="str">
        <f aca="false">IF($A180="","",IF(INDEX(Muster!$C$6:$BF$6,1,MOD($A180-Einstellungen!$C$6,Einstellungen!$C$7)+1)="","-",INDEX(Muster!$C$6:$BF$6,1,MOD($A180-Einstellungen!$C$6,Einstellungen!$C$7)+1)))</f>
        <v>N</v>
      </c>
      <c r="E180" s="27" t="n">
        <f aca="false">IF($A180="","",IFERROR(VLOOKUP(D180,Schichten!$A$5:$G$24,6,FALSE()),0))</f>
        <v>8</v>
      </c>
      <c r="F180" s="27" t="n">
        <f aca="false">IF($A180="","",IFERROR(VLOOKUP(D180,Schichten!$A$5:$G$24,7,FALSE()),0))</f>
        <v>7</v>
      </c>
      <c r="G180" s="28" t="n">
        <f aca="false">IF($A180="","",IF(N(E180)=0,"",$A180+VLOOKUP(D180,Schichten!$A$5:$G$24,3,FALSE())))</f>
        <v>46563.9166666667</v>
      </c>
      <c r="H180" s="28" t="n">
        <f aca="false">IF(G180="","",$A180+VLOOKUP(D180,Schichten!$A$5:$G$24,4,FALSE())+IF(VLOOKUP(D180,Schichten!$A$5:$G$24,4,FALSE())&lt;=VLOOKUP(D180,Schichten!$A$5:$G$24,3,FALSE()),1,0))</f>
        <v>46564.25</v>
      </c>
      <c r="I180" s="28" t="n">
        <f aca="false">IF($A180="","",IF(N(E179)&gt;0,H179,I179))</f>
        <v>46562.9166666667</v>
      </c>
      <c r="J180" s="27" t="n">
        <f aca="false">IF(OR(G180="",I180=""),"",(G180-I180)*24)</f>
        <v>24</v>
      </c>
      <c r="K180" s="21" t="n">
        <f aca="false">IF($A180="","",IF(N(E180)&gt;0,N(K179)+1,0))</f>
        <v>5</v>
      </c>
      <c r="L180" s="21" t="n">
        <f aca="false">IF($A180="","",IF(N(F180)&gt;0,N(L179)+1,0))</f>
        <v>1</v>
      </c>
      <c r="M180" s="21" t="str">
        <f aca="false">IF($A180="","",IF(WEEKDAY($A180,2)&lt;&gt;7,"",IF(AND(OR(G180="",N(G180)&gt;=$A180+16/24,N(H180)&lt;=$A180+6/24),OR(I180="",N(I180)&lt;=$A180+6/24)),1,0)))</f>
        <v/>
      </c>
      <c r="N180" s="26" t="str">
        <f aca="false">IF($A180="","",IF(INDEX(Muster!$C$7:$BF$7,1,MOD($A180-Einstellungen!$C$6,Einstellungen!$C$7)+1)="","-",INDEX(Muster!$C$7:$BF$7,1,MOD($A180-Einstellungen!$C$6,Einstellungen!$C$7)+1)))</f>
        <v>S</v>
      </c>
      <c r="O180" s="27" t="n">
        <f aca="false">IF($A180="","",IFERROR(VLOOKUP(N180,Schichten!$A$5:$G$24,6,FALSE()),0))</f>
        <v>8</v>
      </c>
      <c r="P180" s="27" t="n">
        <f aca="false">IF($A180="","",IFERROR(VLOOKUP(N180,Schichten!$A$5:$G$24,7,FALSE()),0))</f>
        <v>0</v>
      </c>
      <c r="Q180" s="28" t="n">
        <f aca="false">IF($A180="","",IF(N(O180)=0,"",$A180+VLOOKUP(N180,Schichten!$A$5:$G$24,3,FALSE())))</f>
        <v>46563.5833333333</v>
      </c>
      <c r="R180" s="28" t="n">
        <f aca="false">IF(Q180="","",$A180+VLOOKUP(N180,Schichten!$A$5:$G$24,4,FALSE())+IF(VLOOKUP(N180,Schichten!$A$5:$G$24,4,FALSE())&lt;=VLOOKUP(N180,Schichten!$A$5:$G$24,3,FALSE()),1,0))</f>
        <v>46563.9166666667</v>
      </c>
      <c r="S180" s="28" t="n">
        <f aca="false">IF($A180="","",IF(N(O179)&gt;0,R179,S179))</f>
        <v>46562.5833333333</v>
      </c>
      <c r="T180" s="27" t="n">
        <f aca="false">IF(OR(Q180="",S180=""),"",(Q180-S180)*24)</f>
        <v>24</v>
      </c>
      <c r="U180" s="21" t="n">
        <f aca="false">IF($A180="","",IF(N(O180)&gt;0,N(U179)+1,0))</f>
        <v>3</v>
      </c>
      <c r="V180" s="21" t="n">
        <f aca="false">IF($A180="","",IF(N(P180)&gt;0,N(V179)+1,0))</f>
        <v>0</v>
      </c>
      <c r="W180" s="21" t="str">
        <f aca="false">IF($A180="","",IF(WEEKDAY($A180,2)&lt;&gt;7,"",IF(AND(OR(Q180="",N(Q180)&gt;=$A180+16/24,N(R180)&lt;=$A180+6/24),OR(S180="",N(S180)&lt;=$A180+6/24)),1,0)))</f>
        <v/>
      </c>
      <c r="X180" s="26" t="str">
        <f aca="false">IF($A180="","",IF(INDEX(Muster!$C$8:$BF$8,1,MOD($A180-Einstellungen!$C$6,Einstellungen!$C$7)+1)="","-",INDEX(Muster!$C$8:$BF$8,1,MOD($A180-Einstellungen!$C$6,Einstellungen!$C$7)+1)))</f>
        <v>F</v>
      </c>
      <c r="Y180" s="27" t="n">
        <f aca="false">IF($A180="","",IFERROR(VLOOKUP(X180,Schichten!$A$5:$G$24,6,FALSE()),0))</f>
        <v>8</v>
      </c>
      <c r="Z180" s="27" t="n">
        <f aca="false">IF($A180="","",IFERROR(VLOOKUP(X180,Schichten!$A$5:$G$24,7,FALSE()),0))</f>
        <v>0</v>
      </c>
      <c r="AA180" s="28" t="n">
        <f aca="false">IF($A180="","",IF(N(Y180)=0,"",$A180+VLOOKUP(X180,Schichten!$A$5:$G$24,3,FALSE())))</f>
        <v>46563.25</v>
      </c>
      <c r="AB180" s="28" t="n">
        <f aca="false">IF(AA180="","",$A180+VLOOKUP(X180,Schichten!$A$5:$G$24,4,FALSE())+IF(VLOOKUP(X180,Schichten!$A$5:$G$24,4,FALSE())&lt;=VLOOKUP(X180,Schichten!$A$5:$G$24,3,FALSE()),1,0))</f>
        <v>46563.5833333333</v>
      </c>
      <c r="AC180" s="28" t="n">
        <f aca="false">IF($A180="","",IF(N(Y179)&gt;0,AB179,AC179))</f>
        <v>46561.25</v>
      </c>
      <c r="AD180" s="27" t="n">
        <f aca="false">IF(OR(AA180="",AC180=""),"",(AA180-AC180)*24)</f>
        <v>48</v>
      </c>
      <c r="AE180" s="21" t="n">
        <f aca="false">IF($A180="","",IF(N(Y180)&gt;0,N(AE179)+1,0))</f>
        <v>1</v>
      </c>
      <c r="AF180" s="21" t="n">
        <f aca="false">IF($A180="","",IF(N(Z180)&gt;0,N(AF179)+1,0))</f>
        <v>0</v>
      </c>
      <c r="AG180" s="21" t="str">
        <f aca="false">IF($A180="","",IF(WEEKDAY($A180,2)&lt;&gt;7,"",IF(AND(OR(AA180="",N(AA180)&gt;=$A180+16/24,N(AB180)&lt;=$A180+6/24),OR(AC180="",N(AC180)&lt;=$A180+6/24)),1,0)))</f>
        <v/>
      </c>
      <c r="AH180" s="26" t="str">
        <f aca="false">IF($A180="","",IF(INDEX(Muster!$C$9:$BF$9,1,MOD($A180-Einstellungen!$C$6,Einstellungen!$C$7)+1)="","-",INDEX(Muster!$C$9:$BF$9,1,MOD($A180-Einstellungen!$C$6,Einstellungen!$C$7)+1)))</f>
        <v>-</v>
      </c>
      <c r="AI180" s="27" t="n">
        <f aca="false">IF($A180="","",IFERROR(VLOOKUP(AH180,Schichten!$A$5:$G$24,6,FALSE()),0))</f>
        <v>0</v>
      </c>
      <c r="AJ180" s="27" t="n">
        <f aca="false">IF($A180="","",IFERROR(VLOOKUP(AH180,Schichten!$A$5:$G$24,7,FALSE()),0))</f>
        <v>0</v>
      </c>
      <c r="AK180" s="28" t="str">
        <f aca="false">IF($A180="","",IF(N(AI180)=0,"",$A180+VLOOKUP(AH180,Schichten!$A$5:$G$24,3,FALSE())))</f>
        <v/>
      </c>
      <c r="AL180" s="28" t="str">
        <f aca="false">IF(AK180="","",$A180+VLOOKUP(AH180,Schichten!$A$5:$G$24,4,FALSE())+IF(VLOOKUP(AH180,Schichten!$A$5:$G$24,4,FALSE())&lt;=VLOOKUP(AH180,Schichten!$A$5:$G$24,3,FALSE()),1,0))</f>
        <v/>
      </c>
      <c r="AM180" s="28" t="n">
        <f aca="false">IF($A180="","",IF(N(AI179)&gt;0,AL179,AM179))</f>
        <v>46563.25</v>
      </c>
      <c r="AN180" s="27" t="str">
        <f aca="false">IF(OR(AK180="",AM180=""),"",(AK180-AM180)*24)</f>
        <v/>
      </c>
      <c r="AO180" s="21" t="n">
        <f aca="false">IF($A180="","",IF(N(AI180)&gt;0,N(AO179)+1,0))</f>
        <v>0</v>
      </c>
      <c r="AP180" s="21" t="n">
        <f aca="false">IF($A180="","",IF(N(AJ180)&gt;0,N(AP179)+1,0))</f>
        <v>0</v>
      </c>
      <c r="AQ180" s="21" t="str">
        <f aca="false">IF($A180="","",IF(WEEKDAY($A180,2)&lt;&gt;7,"",IF(AND(OR(AK180="",N(AK180)&gt;=$A180+16/24,N(AL180)&lt;=$A180+6/24),OR(AM180="",N(AM180)&lt;=$A180+6/24)),1,0)))</f>
        <v/>
      </c>
      <c r="AR180" s="26" t="str">
        <f aca="false">IF($A180="","",IF(INDEX(Muster!$C$10:$BF$10,1,MOD($A180-Einstellungen!$C$6,Einstellungen!$C$7)+1)="","-",INDEX(Muster!$C$10:$BF$10,1,MOD($A180-Einstellungen!$C$6,Einstellungen!$C$7)+1)))</f>
        <v>-</v>
      </c>
      <c r="AS180" s="27" t="n">
        <f aca="false">IF($A180="","",IFERROR(VLOOKUP(AR180,Schichten!$A$5:$G$24,6,FALSE()),0))</f>
        <v>0</v>
      </c>
      <c r="AT180" s="27" t="n">
        <f aca="false">IF($A180="","",IFERROR(VLOOKUP(AR180,Schichten!$A$5:$G$24,7,FALSE()),0))</f>
        <v>0</v>
      </c>
      <c r="AU180" s="28" t="str">
        <f aca="false">IF($A180="","",IF(N(AS180)=0,"",$A180+VLOOKUP(AR180,Schichten!$A$5:$G$24,3,FALSE())))</f>
        <v/>
      </c>
      <c r="AV180" s="28" t="str">
        <f aca="false">IF(AU180="","",$A180+VLOOKUP(AR180,Schichten!$A$5:$G$24,4,FALSE())+IF(VLOOKUP(AR180,Schichten!$A$5:$G$24,4,FALSE())&lt;=VLOOKUP(AR180,Schichten!$A$5:$G$24,3,FALSE()),1,0))</f>
        <v/>
      </c>
      <c r="AW180" s="28" t="str">
        <f aca="false">IF($A180="","",IF(N(AS179)&gt;0,AV179,AW179))</f>
        <v/>
      </c>
      <c r="AX180" s="27" t="str">
        <f aca="false">IF(OR(AU180="",AW180=""),"",(AU180-AW180)*24)</f>
        <v/>
      </c>
      <c r="AY180" s="21" t="n">
        <f aca="false">IF($A180="","",IF(N(AS180)&gt;0,N(AY179)+1,0))</f>
        <v>0</v>
      </c>
      <c r="AZ180" s="21" t="n">
        <f aca="false">IF($A180="","",IF(N(AT180)&gt;0,N(AZ179)+1,0))</f>
        <v>0</v>
      </c>
      <c r="BA180" s="21" t="str">
        <f aca="false">IF($A180="","",IF(WEEKDAY($A180,2)&lt;&gt;7,"",IF(AND(OR(AU180="",N(AU180)&gt;=$A180+16/24,N(AV180)&lt;=$A180+6/24),OR(AW180="",N(AW180)&lt;=$A180+6/24)),1,0)))</f>
        <v/>
      </c>
    </row>
    <row r="181" customFormat="false" ht="15" hidden="false" customHeight="false" outlineLevel="0" collapsed="false">
      <c r="A181" s="25" t="n">
        <f aca="false">IF(YEAR(DATE(Einstellungen!$C$4,1,1)+176)=Einstellungen!$C$4,DATE(Einstellungen!$C$4,1,1)+176,"")</f>
        <v>46564</v>
      </c>
      <c r="B181" s="26" t="str">
        <f aca="false">IF($A181="","",CHOOSE(WEEKDAY($A181,2),"Mo","Di","Mi","Do","Fr","Sa","So"))</f>
        <v>Sa</v>
      </c>
      <c r="C181" s="26" t="n">
        <f aca="false">IF($A181="","",MONTH($A181))</f>
        <v>6</v>
      </c>
      <c r="D181" s="26" t="str">
        <f aca="false">IF($A181="","",IF(INDEX(Muster!$C$6:$BF$6,1,MOD($A181-Einstellungen!$C$6,Einstellungen!$C$7)+1)="","-",INDEX(Muster!$C$6:$BF$6,1,MOD($A181-Einstellungen!$C$6,Einstellungen!$C$7)+1)))</f>
        <v>N</v>
      </c>
      <c r="E181" s="27" t="n">
        <f aca="false">IF($A181="","",IFERROR(VLOOKUP(D181,Schichten!$A$5:$G$24,6,FALSE()),0))</f>
        <v>8</v>
      </c>
      <c r="F181" s="27" t="n">
        <f aca="false">IF($A181="","",IFERROR(VLOOKUP(D181,Schichten!$A$5:$G$24,7,FALSE()),0))</f>
        <v>7</v>
      </c>
      <c r="G181" s="28" t="n">
        <f aca="false">IF($A181="","",IF(N(E181)=0,"",$A181+VLOOKUP(D181,Schichten!$A$5:$G$24,3,FALSE())))</f>
        <v>46564.9166666667</v>
      </c>
      <c r="H181" s="28" t="n">
        <f aca="false">IF(G181="","",$A181+VLOOKUP(D181,Schichten!$A$5:$G$24,4,FALSE())+IF(VLOOKUP(D181,Schichten!$A$5:$G$24,4,FALSE())&lt;=VLOOKUP(D181,Schichten!$A$5:$G$24,3,FALSE()),1,0))</f>
        <v>46565.25</v>
      </c>
      <c r="I181" s="28" t="n">
        <f aca="false">IF($A181="","",IF(N(E180)&gt;0,H180,I180))</f>
        <v>46564.25</v>
      </c>
      <c r="J181" s="27" t="n">
        <f aca="false">IF(OR(G181="",I181=""),"",(G181-I181)*24)</f>
        <v>16</v>
      </c>
      <c r="K181" s="21" t="n">
        <f aca="false">IF($A181="","",IF(N(E181)&gt;0,N(K180)+1,0))</f>
        <v>6</v>
      </c>
      <c r="L181" s="21" t="n">
        <f aca="false">IF($A181="","",IF(N(F181)&gt;0,N(L180)+1,0))</f>
        <v>2</v>
      </c>
      <c r="M181" s="21" t="str">
        <f aca="false">IF($A181="","",IF(WEEKDAY($A181,2)&lt;&gt;7,"",IF(AND(OR(G181="",N(G181)&gt;=$A181+16/24,N(H181)&lt;=$A181+6/24),OR(I181="",N(I181)&lt;=$A181+6/24)),1,0)))</f>
        <v/>
      </c>
      <c r="N181" s="26" t="str">
        <f aca="false">IF($A181="","",IF(INDEX(Muster!$C$7:$BF$7,1,MOD($A181-Einstellungen!$C$6,Einstellungen!$C$7)+1)="","-",INDEX(Muster!$C$7:$BF$7,1,MOD($A181-Einstellungen!$C$6,Einstellungen!$C$7)+1)))</f>
        <v>S</v>
      </c>
      <c r="O181" s="27" t="n">
        <f aca="false">IF($A181="","",IFERROR(VLOOKUP(N181,Schichten!$A$5:$G$24,6,FALSE()),0))</f>
        <v>8</v>
      </c>
      <c r="P181" s="27" t="n">
        <f aca="false">IF($A181="","",IFERROR(VLOOKUP(N181,Schichten!$A$5:$G$24,7,FALSE()),0))</f>
        <v>0</v>
      </c>
      <c r="Q181" s="28" t="n">
        <f aca="false">IF($A181="","",IF(N(O181)=0,"",$A181+VLOOKUP(N181,Schichten!$A$5:$G$24,3,FALSE())))</f>
        <v>46564.5833333333</v>
      </c>
      <c r="R181" s="28" t="n">
        <f aca="false">IF(Q181="","",$A181+VLOOKUP(N181,Schichten!$A$5:$G$24,4,FALSE())+IF(VLOOKUP(N181,Schichten!$A$5:$G$24,4,FALSE())&lt;=VLOOKUP(N181,Schichten!$A$5:$G$24,3,FALSE()),1,0))</f>
        <v>46564.9166666667</v>
      </c>
      <c r="S181" s="28" t="n">
        <f aca="false">IF($A181="","",IF(N(O180)&gt;0,R180,S180))</f>
        <v>46563.9166666667</v>
      </c>
      <c r="T181" s="27" t="n">
        <f aca="false">IF(OR(Q181="",S181=""),"",(Q181-S181)*24)</f>
        <v>16</v>
      </c>
      <c r="U181" s="21" t="n">
        <f aca="false">IF($A181="","",IF(N(O181)&gt;0,N(U180)+1,0))</f>
        <v>4</v>
      </c>
      <c r="V181" s="21" t="n">
        <f aca="false">IF($A181="","",IF(N(P181)&gt;0,N(V180)+1,0))</f>
        <v>0</v>
      </c>
      <c r="W181" s="21" t="str">
        <f aca="false">IF($A181="","",IF(WEEKDAY($A181,2)&lt;&gt;7,"",IF(AND(OR(Q181="",N(Q181)&gt;=$A181+16/24,N(R181)&lt;=$A181+6/24),OR(S181="",N(S181)&lt;=$A181+6/24)),1,0)))</f>
        <v/>
      </c>
      <c r="X181" s="26" t="str">
        <f aca="false">IF($A181="","",IF(INDEX(Muster!$C$8:$BF$8,1,MOD($A181-Einstellungen!$C$6,Einstellungen!$C$7)+1)="","-",INDEX(Muster!$C$8:$BF$8,1,MOD($A181-Einstellungen!$C$6,Einstellungen!$C$7)+1)))</f>
        <v>F</v>
      </c>
      <c r="Y181" s="27" t="n">
        <f aca="false">IF($A181="","",IFERROR(VLOOKUP(X181,Schichten!$A$5:$G$24,6,FALSE()),0))</f>
        <v>8</v>
      </c>
      <c r="Z181" s="27" t="n">
        <f aca="false">IF($A181="","",IFERROR(VLOOKUP(X181,Schichten!$A$5:$G$24,7,FALSE()),0))</f>
        <v>0</v>
      </c>
      <c r="AA181" s="28" t="n">
        <f aca="false">IF($A181="","",IF(N(Y181)=0,"",$A181+VLOOKUP(X181,Schichten!$A$5:$G$24,3,FALSE())))</f>
        <v>46564.25</v>
      </c>
      <c r="AB181" s="28" t="n">
        <f aca="false">IF(AA181="","",$A181+VLOOKUP(X181,Schichten!$A$5:$G$24,4,FALSE())+IF(VLOOKUP(X181,Schichten!$A$5:$G$24,4,FALSE())&lt;=VLOOKUP(X181,Schichten!$A$5:$G$24,3,FALSE()),1,0))</f>
        <v>46564.5833333333</v>
      </c>
      <c r="AC181" s="28" t="n">
        <f aca="false">IF($A181="","",IF(N(Y180)&gt;0,AB180,AC180))</f>
        <v>46563.5833333333</v>
      </c>
      <c r="AD181" s="27" t="n">
        <f aca="false">IF(OR(AA181="",AC181=""),"",(AA181-AC181)*24)</f>
        <v>16</v>
      </c>
      <c r="AE181" s="21" t="n">
        <f aca="false">IF($A181="","",IF(N(Y181)&gt;0,N(AE180)+1,0))</f>
        <v>2</v>
      </c>
      <c r="AF181" s="21" t="n">
        <f aca="false">IF($A181="","",IF(N(Z181)&gt;0,N(AF180)+1,0))</f>
        <v>0</v>
      </c>
      <c r="AG181" s="21" t="str">
        <f aca="false">IF($A181="","",IF(WEEKDAY($A181,2)&lt;&gt;7,"",IF(AND(OR(AA181="",N(AA181)&gt;=$A181+16/24,N(AB181)&lt;=$A181+6/24),OR(AC181="",N(AC181)&lt;=$A181+6/24)),1,0)))</f>
        <v/>
      </c>
      <c r="AH181" s="26" t="str">
        <f aca="false">IF($A181="","",IF(INDEX(Muster!$C$9:$BF$9,1,MOD($A181-Einstellungen!$C$6,Einstellungen!$C$7)+1)="","-",INDEX(Muster!$C$9:$BF$9,1,MOD($A181-Einstellungen!$C$6,Einstellungen!$C$7)+1)))</f>
        <v>-</v>
      </c>
      <c r="AI181" s="27" t="n">
        <f aca="false">IF($A181="","",IFERROR(VLOOKUP(AH181,Schichten!$A$5:$G$24,6,FALSE()),0))</f>
        <v>0</v>
      </c>
      <c r="AJ181" s="27" t="n">
        <f aca="false">IF($A181="","",IFERROR(VLOOKUP(AH181,Schichten!$A$5:$G$24,7,FALSE()),0))</f>
        <v>0</v>
      </c>
      <c r="AK181" s="28" t="str">
        <f aca="false">IF($A181="","",IF(N(AI181)=0,"",$A181+VLOOKUP(AH181,Schichten!$A$5:$G$24,3,FALSE())))</f>
        <v/>
      </c>
      <c r="AL181" s="28" t="str">
        <f aca="false">IF(AK181="","",$A181+VLOOKUP(AH181,Schichten!$A$5:$G$24,4,FALSE())+IF(VLOOKUP(AH181,Schichten!$A$5:$G$24,4,FALSE())&lt;=VLOOKUP(AH181,Schichten!$A$5:$G$24,3,FALSE()),1,0))</f>
        <v/>
      </c>
      <c r="AM181" s="28" t="n">
        <f aca="false">IF($A181="","",IF(N(AI180)&gt;0,AL180,AM180))</f>
        <v>46563.25</v>
      </c>
      <c r="AN181" s="27" t="str">
        <f aca="false">IF(OR(AK181="",AM181=""),"",(AK181-AM181)*24)</f>
        <v/>
      </c>
      <c r="AO181" s="21" t="n">
        <f aca="false">IF($A181="","",IF(N(AI181)&gt;0,N(AO180)+1,0))</f>
        <v>0</v>
      </c>
      <c r="AP181" s="21" t="n">
        <f aca="false">IF($A181="","",IF(N(AJ181)&gt;0,N(AP180)+1,0))</f>
        <v>0</v>
      </c>
      <c r="AQ181" s="21" t="str">
        <f aca="false">IF($A181="","",IF(WEEKDAY($A181,2)&lt;&gt;7,"",IF(AND(OR(AK181="",N(AK181)&gt;=$A181+16/24,N(AL181)&lt;=$A181+6/24),OR(AM181="",N(AM181)&lt;=$A181+6/24)),1,0)))</f>
        <v/>
      </c>
      <c r="AR181" s="26" t="str">
        <f aca="false">IF($A181="","",IF(INDEX(Muster!$C$10:$BF$10,1,MOD($A181-Einstellungen!$C$6,Einstellungen!$C$7)+1)="","-",INDEX(Muster!$C$10:$BF$10,1,MOD($A181-Einstellungen!$C$6,Einstellungen!$C$7)+1)))</f>
        <v>-</v>
      </c>
      <c r="AS181" s="27" t="n">
        <f aca="false">IF($A181="","",IFERROR(VLOOKUP(AR181,Schichten!$A$5:$G$24,6,FALSE()),0))</f>
        <v>0</v>
      </c>
      <c r="AT181" s="27" t="n">
        <f aca="false">IF($A181="","",IFERROR(VLOOKUP(AR181,Schichten!$A$5:$G$24,7,FALSE()),0))</f>
        <v>0</v>
      </c>
      <c r="AU181" s="28" t="str">
        <f aca="false">IF($A181="","",IF(N(AS181)=0,"",$A181+VLOOKUP(AR181,Schichten!$A$5:$G$24,3,FALSE())))</f>
        <v/>
      </c>
      <c r="AV181" s="28" t="str">
        <f aca="false">IF(AU181="","",$A181+VLOOKUP(AR181,Schichten!$A$5:$G$24,4,FALSE())+IF(VLOOKUP(AR181,Schichten!$A$5:$G$24,4,FALSE())&lt;=VLOOKUP(AR181,Schichten!$A$5:$G$24,3,FALSE()),1,0))</f>
        <v/>
      </c>
      <c r="AW181" s="28" t="str">
        <f aca="false">IF($A181="","",IF(N(AS180)&gt;0,AV180,AW180))</f>
        <v/>
      </c>
      <c r="AX181" s="27" t="str">
        <f aca="false">IF(OR(AU181="",AW181=""),"",(AU181-AW181)*24)</f>
        <v/>
      </c>
      <c r="AY181" s="21" t="n">
        <f aca="false">IF($A181="","",IF(N(AS181)&gt;0,N(AY180)+1,0))</f>
        <v>0</v>
      </c>
      <c r="AZ181" s="21" t="n">
        <f aca="false">IF($A181="","",IF(N(AT181)&gt;0,N(AZ180)+1,0))</f>
        <v>0</v>
      </c>
      <c r="BA181" s="21" t="str">
        <f aca="false">IF($A181="","",IF(WEEKDAY($A181,2)&lt;&gt;7,"",IF(AND(OR(AU181="",N(AU181)&gt;=$A181+16/24,N(AV181)&lt;=$A181+6/24),OR(AW181="",N(AW181)&lt;=$A181+6/24)),1,0)))</f>
        <v/>
      </c>
    </row>
    <row r="182" customFormat="false" ht="15" hidden="false" customHeight="false" outlineLevel="0" collapsed="false">
      <c r="A182" s="25" t="n">
        <f aca="false">IF(YEAR(DATE(Einstellungen!$C$4,1,1)+177)=Einstellungen!$C$4,DATE(Einstellungen!$C$4,1,1)+177,"")</f>
        <v>46565</v>
      </c>
      <c r="B182" s="26" t="str">
        <f aca="false">IF($A182="","",CHOOSE(WEEKDAY($A182,2),"Mo","Di","Mi","Do","Fr","Sa","So"))</f>
        <v>So</v>
      </c>
      <c r="C182" s="26" t="n">
        <f aca="false">IF($A182="","",MONTH($A182))</f>
        <v>6</v>
      </c>
      <c r="D182" s="26" t="str">
        <f aca="false">IF($A182="","",IF(INDEX(Muster!$C$6:$BF$6,1,MOD($A182-Einstellungen!$C$6,Einstellungen!$C$7)+1)="","-",INDEX(Muster!$C$6:$BF$6,1,MOD($A182-Einstellungen!$C$6,Einstellungen!$C$7)+1)))</f>
        <v>-</v>
      </c>
      <c r="E182" s="27" t="n">
        <f aca="false">IF($A182="","",IFERROR(VLOOKUP(D182,Schichten!$A$5:$G$24,6,FALSE()),0))</f>
        <v>0</v>
      </c>
      <c r="F182" s="27" t="n">
        <f aca="false">IF($A182="","",IFERROR(VLOOKUP(D182,Schichten!$A$5:$G$24,7,FALSE()),0))</f>
        <v>0</v>
      </c>
      <c r="G182" s="28" t="str">
        <f aca="false">IF($A182="","",IF(N(E182)=0,"",$A182+VLOOKUP(D182,Schichten!$A$5:$G$24,3,FALSE())))</f>
        <v/>
      </c>
      <c r="H182" s="28" t="str">
        <f aca="false">IF(G182="","",$A182+VLOOKUP(D182,Schichten!$A$5:$G$24,4,FALSE())+IF(VLOOKUP(D182,Schichten!$A$5:$G$24,4,FALSE())&lt;=VLOOKUP(D182,Schichten!$A$5:$G$24,3,FALSE()),1,0))</f>
        <v/>
      </c>
      <c r="I182" s="28" t="n">
        <f aca="false">IF($A182="","",IF(N(E181)&gt;0,H181,I181))</f>
        <v>46565.25</v>
      </c>
      <c r="J182" s="27" t="str">
        <f aca="false">IF(OR(G182="",I182=""),"",(G182-I182)*24)</f>
        <v/>
      </c>
      <c r="K182" s="21" t="n">
        <f aca="false">IF($A182="","",IF(N(E182)&gt;0,N(K181)+1,0))</f>
        <v>0</v>
      </c>
      <c r="L182" s="21" t="n">
        <f aca="false">IF($A182="","",IF(N(F182)&gt;0,N(L181)+1,0))</f>
        <v>0</v>
      </c>
      <c r="M182" s="21" t="n">
        <f aca="false">IF($A182="","",IF(WEEKDAY($A182,2)&lt;&gt;7,"",IF(AND(OR(G182="",N(G182)&gt;=$A182+16/24,N(H182)&lt;=$A182+6/24),OR(I182="",N(I182)&lt;=$A182+6/24)),1,0)))</f>
        <v>1</v>
      </c>
      <c r="N182" s="26" t="str">
        <f aca="false">IF($A182="","",IF(INDEX(Muster!$C$7:$BF$7,1,MOD($A182-Einstellungen!$C$6,Einstellungen!$C$7)+1)="","-",INDEX(Muster!$C$7:$BF$7,1,MOD($A182-Einstellungen!$C$6,Einstellungen!$C$7)+1)))</f>
        <v>N</v>
      </c>
      <c r="O182" s="27" t="n">
        <f aca="false">IF($A182="","",IFERROR(VLOOKUP(N182,Schichten!$A$5:$G$24,6,FALSE()),0))</f>
        <v>8</v>
      </c>
      <c r="P182" s="27" t="n">
        <f aca="false">IF($A182="","",IFERROR(VLOOKUP(N182,Schichten!$A$5:$G$24,7,FALSE()),0))</f>
        <v>7</v>
      </c>
      <c r="Q182" s="28" t="n">
        <f aca="false">IF($A182="","",IF(N(O182)=0,"",$A182+VLOOKUP(N182,Schichten!$A$5:$G$24,3,FALSE())))</f>
        <v>46565.9166666667</v>
      </c>
      <c r="R182" s="28" t="n">
        <f aca="false">IF(Q182="","",$A182+VLOOKUP(N182,Schichten!$A$5:$G$24,4,FALSE())+IF(VLOOKUP(N182,Schichten!$A$5:$G$24,4,FALSE())&lt;=VLOOKUP(N182,Schichten!$A$5:$G$24,3,FALSE()),1,0))</f>
        <v>46566.25</v>
      </c>
      <c r="S182" s="28" t="n">
        <f aca="false">IF($A182="","",IF(N(O181)&gt;0,R181,S181))</f>
        <v>46564.9166666667</v>
      </c>
      <c r="T182" s="27" t="n">
        <f aca="false">IF(OR(Q182="",S182=""),"",(Q182-S182)*24)</f>
        <v>24</v>
      </c>
      <c r="U182" s="21" t="n">
        <f aca="false">IF($A182="","",IF(N(O182)&gt;0,N(U181)+1,0))</f>
        <v>5</v>
      </c>
      <c r="V182" s="21" t="n">
        <f aca="false">IF($A182="","",IF(N(P182)&gt;0,N(V181)+1,0))</f>
        <v>1</v>
      </c>
      <c r="W182" s="21" t="n">
        <f aca="false">IF($A182="","",IF(WEEKDAY($A182,2)&lt;&gt;7,"",IF(AND(OR(Q182="",N(Q182)&gt;=$A182+16/24,N(R182)&lt;=$A182+6/24),OR(S182="",N(S182)&lt;=$A182+6/24)),1,0)))</f>
        <v>1</v>
      </c>
      <c r="X182" s="26" t="str">
        <f aca="false">IF($A182="","",IF(INDEX(Muster!$C$8:$BF$8,1,MOD($A182-Einstellungen!$C$6,Einstellungen!$C$7)+1)="","-",INDEX(Muster!$C$8:$BF$8,1,MOD($A182-Einstellungen!$C$6,Einstellungen!$C$7)+1)))</f>
        <v>S</v>
      </c>
      <c r="Y182" s="27" t="n">
        <f aca="false">IF($A182="","",IFERROR(VLOOKUP(X182,Schichten!$A$5:$G$24,6,FALSE()),0))</f>
        <v>8</v>
      </c>
      <c r="Z182" s="27" t="n">
        <f aca="false">IF($A182="","",IFERROR(VLOOKUP(X182,Schichten!$A$5:$G$24,7,FALSE()),0))</f>
        <v>0</v>
      </c>
      <c r="AA182" s="28" t="n">
        <f aca="false">IF($A182="","",IF(N(Y182)=0,"",$A182+VLOOKUP(X182,Schichten!$A$5:$G$24,3,FALSE())))</f>
        <v>46565.5833333333</v>
      </c>
      <c r="AB182" s="28" t="n">
        <f aca="false">IF(AA182="","",$A182+VLOOKUP(X182,Schichten!$A$5:$G$24,4,FALSE())+IF(VLOOKUP(X182,Schichten!$A$5:$G$24,4,FALSE())&lt;=VLOOKUP(X182,Schichten!$A$5:$G$24,3,FALSE()),1,0))</f>
        <v>46565.9166666667</v>
      </c>
      <c r="AC182" s="28" t="n">
        <f aca="false">IF($A182="","",IF(N(Y181)&gt;0,AB181,AC181))</f>
        <v>46564.5833333333</v>
      </c>
      <c r="AD182" s="27" t="n">
        <f aca="false">IF(OR(AA182="",AC182=""),"",(AA182-AC182)*24)</f>
        <v>24</v>
      </c>
      <c r="AE182" s="21" t="n">
        <f aca="false">IF($A182="","",IF(N(Y182)&gt;0,N(AE181)+1,0))</f>
        <v>3</v>
      </c>
      <c r="AF182" s="21" t="n">
        <f aca="false">IF($A182="","",IF(N(Z182)&gt;0,N(AF181)+1,0))</f>
        <v>0</v>
      </c>
      <c r="AG182" s="21" t="n">
        <f aca="false">IF($A182="","",IF(WEEKDAY($A182,2)&lt;&gt;7,"",IF(AND(OR(AA182="",N(AA182)&gt;=$A182+16/24,N(AB182)&lt;=$A182+6/24),OR(AC182="",N(AC182)&lt;=$A182+6/24)),1,0)))</f>
        <v>0</v>
      </c>
      <c r="AH182" s="26" t="str">
        <f aca="false">IF($A182="","",IF(INDEX(Muster!$C$9:$BF$9,1,MOD($A182-Einstellungen!$C$6,Einstellungen!$C$7)+1)="","-",INDEX(Muster!$C$9:$BF$9,1,MOD($A182-Einstellungen!$C$6,Einstellungen!$C$7)+1)))</f>
        <v>F</v>
      </c>
      <c r="AI182" s="27" t="n">
        <f aca="false">IF($A182="","",IFERROR(VLOOKUP(AH182,Schichten!$A$5:$G$24,6,FALSE()),0))</f>
        <v>8</v>
      </c>
      <c r="AJ182" s="27" t="n">
        <f aca="false">IF($A182="","",IFERROR(VLOOKUP(AH182,Schichten!$A$5:$G$24,7,FALSE()),0))</f>
        <v>0</v>
      </c>
      <c r="AK182" s="28" t="n">
        <f aca="false">IF($A182="","",IF(N(AI182)=0,"",$A182+VLOOKUP(AH182,Schichten!$A$5:$G$24,3,FALSE())))</f>
        <v>46565.25</v>
      </c>
      <c r="AL182" s="28" t="n">
        <f aca="false">IF(AK182="","",$A182+VLOOKUP(AH182,Schichten!$A$5:$G$24,4,FALSE())+IF(VLOOKUP(AH182,Schichten!$A$5:$G$24,4,FALSE())&lt;=VLOOKUP(AH182,Schichten!$A$5:$G$24,3,FALSE()),1,0))</f>
        <v>46565.5833333333</v>
      </c>
      <c r="AM182" s="28" t="n">
        <f aca="false">IF($A182="","",IF(N(AI181)&gt;0,AL181,AM181))</f>
        <v>46563.25</v>
      </c>
      <c r="AN182" s="27" t="n">
        <f aca="false">IF(OR(AK182="",AM182=""),"",(AK182-AM182)*24)</f>
        <v>48</v>
      </c>
      <c r="AO182" s="21" t="n">
        <f aca="false">IF($A182="","",IF(N(AI182)&gt;0,N(AO181)+1,0))</f>
        <v>1</v>
      </c>
      <c r="AP182" s="21" t="n">
        <f aca="false">IF($A182="","",IF(N(AJ182)&gt;0,N(AP181)+1,0))</f>
        <v>0</v>
      </c>
      <c r="AQ182" s="21" t="n">
        <f aca="false">IF($A182="","",IF(WEEKDAY($A182,2)&lt;&gt;7,"",IF(AND(OR(AK182="",N(AK182)&gt;=$A182+16/24,N(AL182)&lt;=$A182+6/24),OR(AM182="",N(AM182)&lt;=$A182+6/24)),1,0)))</f>
        <v>0</v>
      </c>
      <c r="AR182" s="26" t="str">
        <f aca="false">IF($A182="","",IF(INDEX(Muster!$C$10:$BF$10,1,MOD($A182-Einstellungen!$C$6,Einstellungen!$C$7)+1)="","-",INDEX(Muster!$C$10:$BF$10,1,MOD($A182-Einstellungen!$C$6,Einstellungen!$C$7)+1)))</f>
        <v>-</v>
      </c>
      <c r="AS182" s="27" t="n">
        <f aca="false">IF($A182="","",IFERROR(VLOOKUP(AR182,Schichten!$A$5:$G$24,6,FALSE()),0))</f>
        <v>0</v>
      </c>
      <c r="AT182" s="27" t="n">
        <f aca="false">IF($A182="","",IFERROR(VLOOKUP(AR182,Schichten!$A$5:$G$24,7,FALSE()),0))</f>
        <v>0</v>
      </c>
      <c r="AU182" s="28" t="str">
        <f aca="false">IF($A182="","",IF(N(AS182)=0,"",$A182+VLOOKUP(AR182,Schichten!$A$5:$G$24,3,FALSE())))</f>
        <v/>
      </c>
      <c r="AV182" s="28" t="str">
        <f aca="false">IF(AU182="","",$A182+VLOOKUP(AR182,Schichten!$A$5:$G$24,4,FALSE())+IF(VLOOKUP(AR182,Schichten!$A$5:$G$24,4,FALSE())&lt;=VLOOKUP(AR182,Schichten!$A$5:$G$24,3,FALSE()),1,0))</f>
        <v/>
      </c>
      <c r="AW182" s="28" t="str">
        <f aca="false">IF($A182="","",IF(N(AS181)&gt;0,AV181,AW181))</f>
        <v/>
      </c>
      <c r="AX182" s="27" t="str">
        <f aca="false">IF(OR(AU182="",AW182=""),"",(AU182-AW182)*24)</f>
        <v/>
      </c>
      <c r="AY182" s="21" t="n">
        <f aca="false">IF($A182="","",IF(N(AS182)&gt;0,N(AY181)+1,0))</f>
        <v>0</v>
      </c>
      <c r="AZ182" s="21" t="n">
        <f aca="false">IF($A182="","",IF(N(AT182)&gt;0,N(AZ181)+1,0))</f>
        <v>0</v>
      </c>
      <c r="BA182" s="21" t="n">
        <f aca="false">IF($A182="","",IF(WEEKDAY($A182,2)&lt;&gt;7,"",IF(AND(OR(AU182="",N(AU182)&gt;=$A182+16/24,N(AV182)&lt;=$A182+6/24),OR(AW182="",N(AW182)&lt;=$A182+6/24)),1,0)))</f>
        <v>1</v>
      </c>
    </row>
    <row r="183" customFormat="false" ht="15" hidden="false" customHeight="false" outlineLevel="0" collapsed="false">
      <c r="A183" s="25" t="n">
        <f aca="false">IF(YEAR(DATE(Einstellungen!$C$4,1,1)+178)=Einstellungen!$C$4,DATE(Einstellungen!$C$4,1,1)+178,"")</f>
        <v>46566</v>
      </c>
      <c r="B183" s="26" t="str">
        <f aca="false">IF($A183="","",CHOOSE(WEEKDAY($A183,2),"Mo","Di","Mi","Do","Fr","Sa","So"))</f>
        <v>Mo</v>
      </c>
      <c r="C183" s="26" t="n">
        <f aca="false">IF($A183="","",MONTH($A183))</f>
        <v>6</v>
      </c>
      <c r="D183" s="26" t="str">
        <f aca="false">IF($A183="","",IF(INDEX(Muster!$C$6:$BF$6,1,MOD($A183-Einstellungen!$C$6,Einstellungen!$C$7)+1)="","-",INDEX(Muster!$C$6:$BF$6,1,MOD($A183-Einstellungen!$C$6,Einstellungen!$C$7)+1)))</f>
        <v>-</v>
      </c>
      <c r="E183" s="27" t="n">
        <f aca="false">IF($A183="","",IFERROR(VLOOKUP(D183,Schichten!$A$5:$G$24,6,FALSE()),0))</f>
        <v>0</v>
      </c>
      <c r="F183" s="27" t="n">
        <f aca="false">IF($A183="","",IFERROR(VLOOKUP(D183,Schichten!$A$5:$G$24,7,FALSE()),0))</f>
        <v>0</v>
      </c>
      <c r="G183" s="28" t="str">
        <f aca="false">IF($A183="","",IF(N(E183)=0,"",$A183+VLOOKUP(D183,Schichten!$A$5:$G$24,3,FALSE())))</f>
        <v/>
      </c>
      <c r="H183" s="28" t="str">
        <f aca="false">IF(G183="","",$A183+VLOOKUP(D183,Schichten!$A$5:$G$24,4,FALSE())+IF(VLOOKUP(D183,Schichten!$A$5:$G$24,4,FALSE())&lt;=VLOOKUP(D183,Schichten!$A$5:$G$24,3,FALSE()),1,0))</f>
        <v/>
      </c>
      <c r="I183" s="28" t="n">
        <f aca="false">IF($A183="","",IF(N(E182)&gt;0,H182,I182))</f>
        <v>46565.25</v>
      </c>
      <c r="J183" s="27" t="str">
        <f aca="false">IF(OR(G183="",I183=""),"",(G183-I183)*24)</f>
        <v/>
      </c>
      <c r="K183" s="21" t="n">
        <f aca="false">IF($A183="","",IF(N(E183)&gt;0,N(K182)+1,0))</f>
        <v>0</v>
      </c>
      <c r="L183" s="21" t="n">
        <f aca="false">IF($A183="","",IF(N(F183)&gt;0,N(L182)+1,0))</f>
        <v>0</v>
      </c>
      <c r="M183" s="21" t="str">
        <f aca="false">IF($A183="","",IF(WEEKDAY($A183,2)&lt;&gt;7,"",IF(AND(OR(G183="",N(G183)&gt;=$A183+16/24,N(H183)&lt;=$A183+6/24),OR(I183="",N(I183)&lt;=$A183+6/24)),1,0)))</f>
        <v/>
      </c>
      <c r="N183" s="26" t="str">
        <f aca="false">IF($A183="","",IF(INDEX(Muster!$C$7:$BF$7,1,MOD($A183-Einstellungen!$C$6,Einstellungen!$C$7)+1)="","-",INDEX(Muster!$C$7:$BF$7,1,MOD($A183-Einstellungen!$C$6,Einstellungen!$C$7)+1)))</f>
        <v>N</v>
      </c>
      <c r="O183" s="27" t="n">
        <f aca="false">IF($A183="","",IFERROR(VLOOKUP(N183,Schichten!$A$5:$G$24,6,FALSE()),0))</f>
        <v>8</v>
      </c>
      <c r="P183" s="27" t="n">
        <f aca="false">IF($A183="","",IFERROR(VLOOKUP(N183,Schichten!$A$5:$G$24,7,FALSE()),0))</f>
        <v>7</v>
      </c>
      <c r="Q183" s="28" t="n">
        <f aca="false">IF($A183="","",IF(N(O183)=0,"",$A183+VLOOKUP(N183,Schichten!$A$5:$G$24,3,FALSE())))</f>
        <v>46566.9166666667</v>
      </c>
      <c r="R183" s="28" t="n">
        <f aca="false">IF(Q183="","",$A183+VLOOKUP(N183,Schichten!$A$5:$G$24,4,FALSE())+IF(VLOOKUP(N183,Schichten!$A$5:$G$24,4,FALSE())&lt;=VLOOKUP(N183,Schichten!$A$5:$G$24,3,FALSE()),1,0))</f>
        <v>46567.25</v>
      </c>
      <c r="S183" s="28" t="n">
        <f aca="false">IF($A183="","",IF(N(O182)&gt;0,R182,S182))</f>
        <v>46566.25</v>
      </c>
      <c r="T183" s="27" t="n">
        <f aca="false">IF(OR(Q183="",S183=""),"",(Q183-S183)*24)</f>
        <v>16</v>
      </c>
      <c r="U183" s="21" t="n">
        <f aca="false">IF($A183="","",IF(N(O183)&gt;0,N(U182)+1,0))</f>
        <v>6</v>
      </c>
      <c r="V183" s="21" t="n">
        <f aca="false">IF($A183="","",IF(N(P183)&gt;0,N(V182)+1,0))</f>
        <v>2</v>
      </c>
      <c r="W183" s="21" t="str">
        <f aca="false">IF($A183="","",IF(WEEKDAY($A183,2)&lt;&gt;7,"",IF(AND(OR(Q183="",N(Q183)&gt;=$A183+16/24,N(R183)&lt;=$A183+6/24),OR(S183="",N(S183)&lt;=$A183+6/24)),1,0)))</f>
        <v/>
      </c>
      <c r="X183" s="26" t="str">
        <f aca="false">IF($A183="","",IF(INDEX(Muster!$C$8:$BF$8,1,MOD($A183-Einstellungen!$C$6,Einstellungen!$C$7)+1)="","-",INDEX(Muster!$C$8:$BF$8,1,MOD($A183-Einstellungen!$C$6,Einstellungen!$C$7)+1)))</f>
        <v>S</v>
      </c>
      <c r="Y183" s="27" t="n">
        <f aca="false">IF($A183="","",IFERROR(VLOOKUP(X183,Schichten!$A$5:$G$24,6,FALSE()),0))</f>
        <v>8</v>
      </c>
      <c r="Z183" s="27" t="n">
        <f aca="false">IF($A183="","",IFERROR(VLOOKUP(X183,Schichten!$A$5:$G$24,7,FALSE()),0))</f>
        <v>0</v>
      </c>
      <c r="AA183" s="28" t="n">
        <f aca="false">IF($A183="","",IF(N(Y183)=0,"",$A183+VLOOKUP(X183,Schichten!$A$5:$G$24,3,FALSE())))</f>
        <v>46566.5833333333</v>
      </c>
      <c r="AB183" s="28" t="n">
        <f aca="false">IF(AA183="","",$A183+VLOOKUP(X183,Schichten!$A$5:$G$24,4,FALSE())+IF(VLOOKUP(X183,Schichten!$A$5:$G$24,4,FALSE())&lt;=VLOOKUP(X183,Schichten!$A$5:$G$24,3,FALSE()),1,0))</f>
        <v>46566.9166666667</v>
      </c>
      <c r="AC183" s="28" t="n">
        <f aca="false">IF($A183="","",IF(N(Y182)&gt;0,AB182,AC182))</f>
        <v>46565.9166666667</v>
      </c>
      <c r="AD183" s="27" t="n">
        <f aca="false">IF(OR(AA183="",AC183=""),"",(AA183-AC183)*24)</f>
        <v>16</v>
      </c>
      <c r="AE183" s="21" t="n">
        <f aca="false">IF($A183="","",IF(N(Y183)&gt;0,N(AE182)+1,0))</f>
        <v>4</v>
      </c>
      <c r="AF183" s="21" t="n">
        <f aca="false">IF($A183="","",IF(N(Z183)&gt;0,N(AF182)+1,0))</f>
        <v>0</v>
      </c>
      <c r="AG183" s="21" t="str">
        <f aca="false">IF($A183="","",IF(WEEKDAY($A183,2)&lt;&gt;7,"",IF(AND(OR(AA183="",N(AA183)&gt;=$A183+16/24,N(AB183)&lt;=$A183+6/24),OR(AC183="",N(AC183)&lt;=$A183+6/24)),1,0)))</f>
        <v/>
      </c>
      <c r="AH183" s="26" t="str">
        <f aca="false">IF($A183="","",IF(INDEX(Muster!$C$9:$BF$9,1,MOD($A183-Einstellungen!$C$6,Einstellungen!$C$7)+1)="","-",INDEX(Muster!$C$9:$BF$9,1,MOD($A183-Einstellungen!$C$6,Einstellungen!$C$7)+1)))</f>
        <v>F</v>
      </c>
      <c r="AI183" s="27" t="n">
        <f aca="false">IF($A183="","",IFERROR(VLOOKUP(AH183,Schichten!$A$5:$G$24,6,FALSE()),0))</f>
        <v>8</v>
      </c>
      <c r="AJ183" s="27" t="n">
        <f aca="false">IF($A183="","",IFERROR(VLOOKUP(AH183,Schichten!$A$5:$G$24,7,FALSE()),0))</f>
        <v>0</v>
      </c>
      <c r="AK183" s="28" t="n">
        <f aca="false">IF($A183="","",IF(N(AI183)=0,"",$A183+VLOOKUP(AH183,Schichten!$A$5:$G$24,3,FALSE())))</f>
        <v>46566.25</v>
      </c>
      <c r="AL183" s="28" t="n">
        <f aca="false">IF(AK183="","",$A183+VLOOKUP(AH183,Schichten!$A$5:$G$24,4,FALSE())+IF(VLOOKUP(AH183,Schichten!$A$5:$G$24,4,FALSE())&lt;=VLOOKUP(AH183,Schichten!$A$5:$G$24,3,FALSE()),1,0))</f>
        <v>46566.5833333333</v>
      </c>
      <c r="AM183" s="28" t="n">
        <f aca="false">IF($A183="","",IF(N(AI182)&gt;0,AL182,AM182))</f>
        <v>46565.5833333333</v>
      </c>
      <c r="AN183" s="27" t="n">
        <f aca="false">IF(OR(AK183="",AM183=""),"",(AK183-AM183)*24)</f>
        <v>16</v>
      </c>
      <c r="AO183" s="21" t="n">
        <f aca="false">IF($A183="","",IF(N(AI183)&gt;0,N(AO182)+1,0))</f>
        <v>2</v>
      </c>
      <c r="AP183" s="21" t="n">
        <f aca="false">IF($A183="","",IF(N(AJ183)&gt;0,N(AP182)+1,0))</f>
        <v>0</v>
      </c>
      <c r="AQ183" s="21" t="str">
        <f aca="false">IF($A183="","",IF(WEEKDAY($A183,2)&lt;&gt;7,"",IF(AND(OR(AK183="",N(AK183)&gt;=$A183+16/24,N(AL183)&lt;=$A183+6/24),OR(AM183="",N(AM183)&lt;=$A183+6/24)),1,0)))</f>
        <v/>
      </c>
      <c r="AR183" s="26" t="str">
        <f aca="false">IF($A183="","",IF(INDEX(Muster!$C$10:$BF$10,1,MOD($A183-Einstellungen!$C$6,Einstellungen!$C$7)+1)="","-",INDEX(Muster!$C$10:$BF$10,1,MOD($A183-Einstellungen!$C$6,Einstellungen!$C$7)+1)))</f>
        <v>-</v>
      </c>
      <c r="AS183" s="27" t="n">
        <f aca="false">IF($A183="","",IFERROR(VLOOKUP(AR183,Schichten!$A$5:$G$24,6,FALSE()),0))</f>
        <v>0</v>
      </c>
      <c r="AT183" s="27" t="n">
        <f aca="false">IF($A183="","",IFERROR(VLOOKUP(AR183,Schichten!$A$5:$G$24,7,FALSE()),0))</f>
        <v>0</v>
      </c>
      <c r="AU183" s="28" t="str">
        <f aca="false">IF($A183="","",IF(N(AS183)=0,"",$A183+VLOOKUP(AR183,Schichten!$A$5:$G$24,3,FALSE())))</f>
        <v/>
      </c>
      <c r="AV183" s="28" t="str">
        <f aca="false">IF(AU183="","",$A183+VLOOKUP(AR183,Schichten!$A$5:$G$24,4,FALSE())+IF(VLOOKUP(AR183,Schichten!$A$5:$G$24,4,FALSE())&lt;=VLOOKUP(AR183,Schichten!$A$5:$G$24,3,FALSE()),1,0))</f>
        <v/>
      </c>
      <c r="AW183" s="28" t="str">
        <f aca="false">IF($A183="","",IF(N(AS182)&gt;0,AV182,AW182))</f>
        <v/>
      </c>
      <c r="AX183" s="27" t="str">
        <f aca="false">IF(OR(AU183="",AW183=""),"",(AU183-AW183)*24)</f>
        <v/>
      </c>
      <c r="AY183" s="21" t="n">
        <f aca="false">IF($A183="","",IF(N(AS183)&gt;0,N(AY182)+1,0))</f>
        <v>0</v>
      </c>
      <c r="AZ183" s="21" t="n">
        <f aca="false">IF($A183="","",IF(N(AT183)&gt;0,N(AZ182)+1,0))</f>
        <v>0</v>
      </c>
      <c r="BA183" s="21" t="str">
        <f aca="false">IF($A183="","",IF(WEEKDAY($A183,2)&lt;&gt;7,"",IF(AND(OR(AU183="",N(AU183)&gt;=$A183+16/24,N(AV183)&lt;=$A183+6/24),OR(AW183="",N(AW183)&lt;=$A183+6/24)),1,0)))</f>
        <v/>
      </c>
    </row>
    <row r="184" customFormat="false" ht="15" hidden="false" customHeight="false" outlineLevel="0" collapsed="false">
      <c r="A184" s="25" t="n">
        <f aca="false">IF(YEAR(DATE(Einstellungen!$C$4,1,1)+179)=Einstellungen!$C$4,DATE(Einstellungen!$C$4,1,1)+179,"")</f>
        <v>46567</v>
      </c>
      <c r="B184" s="26" t="str">
        <f aca="false">IF($A184="","",CHOOSE(WEEKDAY($A184,2),"Mo","Di","Mi","Do","Fr","Sa","So"))</f>
        <v>Di</v>
      </c>
      <c r="C184" s="26" t="n">
        <f aca="false">IF($A184="","",MONTH($A184))</f>
        <v>6</v>
      </c>
      <c r="D184" s="26" t="str">
        <f aca="false">IF($A184="","",IF(INDEX(Muster!$C$6:$BF$6,1,MOD($A184-Einstellungen!$C$6,Einstellungen!$C$7)+1)="","-",INDEX(Muster!$C$6:$BF$6,1,MOD($A184-Einstellungen!$C$6,Einstellungen!$C$7)+1)))</f>
        <v>F</v>
      </c>
      <c r="E184" s="27" t="n">
        <f aca="false">IF($A184="","",IFERROR(VLOOKUP(D184,Schichten!$A$5:$G$24,6,FALSE()),0))</f>
        <v>8</v>
      </c>
      <c r="F184" s="27" t="n">
        <f aca="false">IF($A184="","",IFERROR(VLOOKUP(D184,Schichten!$A$5:$G$24,7,FALSE()),0))</f>
        <v>0</v>
      </c>
      <c r="G184" s="28" t="n">
        <f aca="false">IF($A184="","",IF(N(E184)=0,"",$A184+VLOOKUP(D184,Schichten!$A$5:$G$24,3,FALSE())))</f>
        <v>46567.25</v>
      </c>
      <c r="H184" s="28" t="n">
        <f aca="false">IF(G184="","",$A184+VLOOKUP(D184,Schichten!$A$5:$G$24,4,FALSE())+IF(VLOOKUP(D184,Schichten!$A$5:$G$24,4,FALSE())&lt;=VLOOKUP(D184,Schichten!$A$5:$G$24,3,FALSE()),1,0))</f>
        <v>46567.5833333333</v>
      </c>
      <c r="I184" s="28" t="n">
        <f aca="false">IF($A184="","",IF(N(E183)&gt;0,H183,I183))</f>
        <v>46565.25</v>
      </c>
      <c r="J184" s="27" t="n">
        <f aca="false">IF(OR(G184="",I184=""),"",(G184-I184)*24)</f>
        <v>48</v>
      </c>
      <c r="K184" s="21" t="n">
        <f aca="false">IF($A184="","",IF(N(E184)&gt;0,N(K183)+1,0))</f>
        <v>1</v>
      </c>
      <c r="L184" s="21" t="n">
        <f aca="false">IF($A184="","",IF(N(F184)&gt;0,N(L183)+1,0))</f>
        <v>0</v>
      </c>
      <c r="M184" s="21" t="str">
        <f aca="false">IF($A184="","",IF(WEEKDAY($A184,2)&lt;&gt;7,"",IF(AND(OR(G184="",N(G184)&gt;=$A184+16/24,N(H184)&lt;=$A184+6/24),OR(I184="",N(I184)&lt;=$A184+6/24)),1,0)))</f>
        <v/>
      </c>
      <c r="N184" s="26" t="str">
        <f aca="false">IF($A184="","",IF(INDEX(Muster!$C$7:$BF$7,1,MOD($A184-Einstellungen!$C$6,Einstellungen!$C$7)+1)="","-",INDEX(Muster!$C$7:$BF$7,1,MOD($A184-Einstellungen!$C$6,Einstellungen!$C$7)+1)))</f>
        <v>-</v>
      </c>
      <c r="O184" s="27" t="n">
        <f aca="false">IF($A184="","",IFERROR(VLOOKUP(N184,Schichten!$A$5:$G$24,6,FALSE()),0))</f>
        <v>0</v>
      </c>
      <c r="P184" s="27" t="n">
        <f aca="false">IF($A184="","",IFERROR(VLOOKUP(N184,Schichten!$A$5:$G$24,7,FALSE()),0))</f>
        <v>0</v>
      </c>
      <c r="Q184" s="28" t="str">
        <f aca="false">IF($A184="","",IF(N(O184)=0,"",$A184+VLOOKUP(N184,Schichten!$A$5:$G$24,3,FALSE())))</f>
        <v/>
      </c>
      <c r="R184" s="28" t="str">
        <f aca="false">IF(Q184="","",$A184+VLOOKUP(N184,Schichten!$A$5:$G$24,4,FALSE())+IF(VLOOKUP(N184,Schichten!$A$5:$G$24,4,FALSE())&lt;=VLOOKUP(N184,Schichten!$A$5:$G$24,3,FALSE()),1,0))</f>
        <v/>
      </c>
      <c r="S184" s="28" t="n">
        <f aca="false">IF($A184="","",IF(N(O183)&gt;0,R183,S183))</f>
        <v>46567.25</v>
      </c>
      <c r="T184" s="27" t="str">
        <f aca="false">IF(OR(Q184="",S184=""),"",(Q184-S184)*24)</f>
        <v/>
      </c>
      <c r="U184" s="21" t="n">
        <f aca="false">IF($A184="","",IF(N(O184)&gt;0,N(U183)+1,0))</f>
        <v>0</v>
      </c>
      <c r="V184" s="21" t="n">
        <f aca="false">IF($A184="","",IF(N(P184)&gt;0,N(V183)+1,0))</f>
        <v>0</v>
      </c>
      <c r="W184" s="21" t="str">
        <f aca="false">IF($A184="","",IF(WEEKDAY($A184,2)&lt;&gt;7,"",IF(AND(OR(Q184="",N(Q184)&gt;=$A184+16/24,N(R184)&lt;=$A184+6/24),OR(S184="",N(S184)&lt;=$A184+6/24)),1,0)))</f>
        <v/>
      </c>
      <c r="X184" s="26" t="str">
        <f aca="false">IF($A184="","",IF(INDEX(Muster!$C$8:$BF$8,1,MOD($A184-Einstellungen!$C$6,Einstellungen!$C$7)+1)="","-",INDEX(Muster!$C$8:$BF$8,1,MOD($A184-Einstellungen!$C$6,Einstellungen!$C$7)+1)))</f>
        <v>N</v>
      </c>
      <c r="Y184" s="27" t="n">
        <f aca="false">IF($A184="","",IFERROR(VLOOKUP(X184,Schichten!$A$5:$G$24,6,FALSE()),0))</f>
        <v>8</v>
      </c>
      <c r="Z184" s="27" t="n">
        <f aca="false">IF($A184="","",IFERROR(VLOOKUP(X184,Schichten!$A$5:$G$24,7,FALSE()),0))</f>
        <v>7</v>
      </c>
      <c r="AA184" s="28" t="n">
        <f aca="false">IF($A184="","",IF(N(Y184)=0,"",$A184+VLOOKUP(X184,Schichten!$A$5:$G$24,3,FALSE())))</f>
        <v>46567.9166666667</v>
      </c>
      <c r="AB184" s="28" t="n">
        <f aca="false">IF(AA184="","",$A184+VLOOKUP(X184,Schichten!$A$5:$G$24,4,FALSE())+IF(VLOOKUP(X184,Schichten!$A$5:$G$24,4,FALSE())&lt;=VLOOKUP(X184,Schichten!$A$5:$G$24,3,FALSE()),1,0))</f>
        <v>46568.25</v>
      </c>
      <c r="AC184" s="28" t="n">
        <f aca="false">IF($A184="","",IF(N(Y183)&gt;0,AB183,AC183))</f>
        <v>46566.9166666667</v>
      </c>
      <c r="AD184" s="27" t="n">
        <f aca="false">IF(OR(AA184="",AC184=""),"",(AA184-AC184)*24)</f>
        <v>24</v>
      </c>
      <c r="AE184" s="21" t="n">
        <f aca="false">IF($A184="","",IF(N(Y184)&gt;0,N(AE183)+1,0))</f>
        <v>5</v>
      </c>
      <c r="AF184" s="21" t="n">
        <f aca="false">IF($A184="","",IF(N(Z184)&gt;0,N(AF183)+1,0))</f>
        <v>1</v>
      </c>
      <c r="AG184" s="21" t="str">
        <f aca="false">IF($A184="","",IF(WEEKDAY($A184,2)&lt;&gt;7,"",IF(AND(OR(AA184="",N(AA184)&gt;=$A184+16/24,N(AB184)&lt;=$A184+6/24),OR(AC184="",N(AC184)&lt;=$A184+6/24)),1,0)))</f>
        <v/>
      </c>
      <c r="AH184" s="26" t="str">
        <f aca="false">IF($A184="","",IF(INDEX(Muster!$C$9:$BF$9,1,MOD($A184-Einstellungen!$C$6,Einstellungen!$C$7)+1)="","-",INDEX(Muster!$C$9:$BF$9,1,MOD($A184-Einstellungen!$C$6,Einstellungen!$C$7)+1)))</f>
        <v>S</v>
      </c>
      <c r="AI184" s="27" t="n">
        <f aca="false">IF($A184="","",IFERROR(VLOOKUP(AH184,Schichten!$A$5:$G$24,6,FALSE()),0))</f>
        <v>8</v>
      </c>
      <c r="AJ184" s="27" t="n">
        <f aca="false">IF($A184="","",IFERROR(VLOOKUP(AH184,Schichten!$A$5:$G$24,7,FALSE()),0))</f>
        <v>0</v>
      </c>
      <c r="AK184" s="28" t="n">
        <f aca="false">IF($A184="","",IF(N(AI184)=0,"",$A184+VLOOKUP(AH184,Schichten!$A$5:$G$24,3,FALSE())))</f>
        <v>46567.5833333333</v>
      </c>
      <c r="AL184" s="28" t="n">
        <f aca="false">IF(AK184="","",$A184+VLOOKUP(AH184,Schichten!$A$5:$G$24,4,FALSE())+IF(VLOOKUP(AH184,Schichten!$A$5:$G$24,4,FALSE())&lt;=VLOOKUP(AH184,Schichten!$A$5:$G$24,3,FALSE()),1,0))</f>
        <v>46567.9166666667</v>
      </c>
      <c r="AM184" s="28" t="n">
        <f aca="false">IF($A184="","",IF(N(AI183)&gt;0,AL183,AM183))</f>
        <v>46566.5833333333</v>
      </c>
      <c r="AN184" s="27" t="n">
        <f aca="false">IF(OR(AK184="",AM184=""),"",(AK184-AM184)*24)</f>
        <v>24</v>
      </c>
      <c r="AO184" s="21" t="n">
        <f aca="false">IF($A184="","",IF(N(AI184)&gt;0,N(AO183)+1,0))</f>
        <v>3</v>
      </c>
      <c r="AP184" s="21" t="n">
        <f aca="false">IF($A184="","",IF(N(AJ184)&gt;0,N(AP183)+1,0))</f>
        <v>0</v>
      </c>
      <c r="AQ184" s="21" t="str">
        <f aca="false">IF($A184="","",IF(WEEKDAY($A184,2)&lt;&gt;7,"",IF(AND(OR(AK184="",N(AK184)&gt;=$A184+16/24,N(AL184)&lt;=$A184+6/24),OR(AM184="",N(AM184)&lt;=$A184+6/24)),1,0)))</f>
        <v/>
      </c>
      <c r="AR184" s="26" t="str">
        <f aca="false">IF($A184="","",IF(INDEX(Muster!$C$10:$BF$10,1,MOD($A184-Einstellungen!$C$6,Einstellungen!$C$7)+1)="","-",INDEX(Muster!$C$10:$BF$10,1,MOD($A184-Einstellungen!$C$6,Einstellungen!$C$7)+1)))</f>
        <v>-</v>
      </c>
      <c r="AS184" s="27" t="n">
        <f aca="false">IF($A184="","",IFERROR(VLOOKUP(AR184,Schichten!$A$5:$G$24,6,FALSE()),0))</f>
        <v>0</v>
      </c>
      <c r="AT184" s="27" t="n">
        <f aca="false">IF($A184="","",IFERROR(VLOOKUP(AR184,Schichten!$A$5:$G$24,7,FALSE()),0))</f>
        <v>0</v>
      </c>
      <c r="AU184" s="28" t="str">
        <f aca="false">IF($A184="","",IF(N(AS184)=0,"",$A184+VLOOKUP(AR184,Schichten!$A$5:$G$24,3,FALSE())))</f>
        <v/>
      </c>
      <c r="AV184" s="28" t="str">
        <f aca="false">IF(AU184="","",$A184+VLOOKUP(AR184,Schichten!$A$5:$G$24,4,FALSE())+IF(VLOOKUP(AR184,Schichten!$A$5:$G$24,4,FALSE())&lt;=VLOOKUP(AR184,Schichten!$A$5:$G$24,3,FALSE()),1,0))</f>
        <v/>
      </c>
      <c r="AW184" s="28" t="str">
        <f aca="false">IF($A184="","",IF(N(AS183)&gt;0,AV183,AW183))</f>
        <v/>
      </c>
      <c r="AX184" s="27" t="str">
        <f aca="false">IF(OR(AU184="",AW184=""),"",(AU184-AW184)*24)</f>
        <v/>
      </c>
      <c r="AY184" s="21" t="n">
        <f aca="false">IF($A184="","",IF(N(AS184)&gt;0,N(AY183)+1,0))</f>
        <v>0</v>
      </c>
      <c r="AZ184" s="21" t="n">
        <f aca="false">IF($A184="","",IF(N(AT184)&gt;0,N(AZ183)+1,0))</f>
        <v>0</v>
      </c>
      <c r="BA184" s="21" t="str">
        <f aca="false">IF($A184="","",IF(WEEKDAY($A184,2)&lt;&gt;7,"",IF(AND(OR(AU184="",N(AU184)&gt;=$A184+16/24,N(AV184)&lt;=$A184+6/24),OR(AW184="",N(AW184)&lt;=$A184+6/24)),1,0)))</f>
        <v/>
      </c>
    </row>
    <row r="185" customFormat="false" ht="15" hidden="false" customHeight="false" outlineLevel="0" collapsed="false">
      <c r="A185" s="25" t="n">
        <f aca="false">IF(YEAR(DATE(Einstellungen!$C$4,1,1)+180)=Einstellungen!$C$4,DATE(Einstellungen!$C$4,1,1)+180,"")</f>
        <v>46568</v>
      </c>
      <c r="B185" s="26" t="str">
        <f aca="false">IF($A185="","",CHOOSE(WEEKDAY($A185,2),"Mo","Di","Mi","Do","Fr","Sa","So"))</f>
        <v>Mi</v>
      </c>
      <c r="C185" s="26" t="n">
        <f aca="false">IF($A185="","",MONTH($A185))</f>
        <v>6</v>
      </c>
      <c r="D185" s="26" t="str">
        <f aca="false">IF($A185="","",IF(INDEX(Muster!$C$6:$BF$6,1,MOD($A185-Einstellungen!$C$6,Einstellungen!$C$7)+1)="","-",INDEX(Muster!$C$6:$BF$6,1,MOD($A185-Einstellungen!$C$6,Einstellungen!$C$7)+1)))</f>
        <v>F</v>
      </c>
      <c r="E185" s="27" t="n">
        <f aca="false">IF($A185="","",IFERROR(VLOOKUP(D185,Schichten!$A$5:$G$24,6,FALSE()),0))</f>
        <v>8</v>
      </c>
      <c r="F185" s="27" t="n">
        <f aca="false">IF($A185="","",IFERROR(VLOOKUP(D185,Schichten!$A$5:$G$24,7,FALSE()),0))</f>
        <v>0</v>
      </c>
      <c r="G185" s="28" t="n">
        <f aca="false">IF($A185="","",IF(N(E185)=0,"",$A185+VLOOKUP(D185,Schichten!$A$5:$G$24,3,FALSE())))</f>
        <v>46568.25</v>
      </c>
      <c r="H185" s="28" t="n">
        <f aca="false">IF(G185="","",$A185+VLOOKUP(D185,Schichten!$A$5:$G$24,4,FALSE())+IF(VLOOKUP(D185,Schichten!$A$5:$G$24,4,FALSE())&lt;=VLOOKUP(D185,Schichten!$A$5:$G$24,3,FALSE()),1,0))</f>
        <v>46568.5833333333</v>
      </c>
      <c r="I185" s="28" t="n">
        <f aca="false">IF($A185="","",IF(N(E184)&gt;0,H184,I184))</f>
        <v>46567.5833333333</v>
      </c>
      <c r="J185" s="27" t="n">
        <f aca="false">IF(OR(G185="",I185=""),"",(G185-I185)*24)</f>
        <v>16</v>
      </c>
      <c r="K185" s="21" t="n">
        <f aca="false">IF($A185="","",IF(N(E185)&gt;0,N(K184)+1,0))</f>
        <v>2</v>
      </c>
      <c r="L185" s="21" t="n">
        <f aca="false">IF($A185="","",IF(N(F185)&gt;0,N(L184)+1,0))</f>
        <v>0</v>
      </c>
      <c r="M185" s="21" t="str">
        <f aca="false">IF($A185="","",IF(WEEKDAY($A185,2)&lt;&gt;7,"",IF(AND(OR(G185="",N(G185)&gt;=$A185+16/24,N(H185)&lt;=$A185+6/24),OR(I185="",N(I185)&lt;=$A185+6/24)),1,0)))</f>
        <v/>
      </c>
      <c r="N185" s="26" t="str">
        <f aca="false">IF($A185="","",IF(INDEX(Muster!$C$7:$BF$7,1,MOD($A185-Einstellungen!$C$6,Einstellungen!$C$7)+1)="","-",INDEX(Muster!$C$7:$BF$7,1,MOD($A185-Einstellungen!$C$6,Einstellungen!$C$7)+1)))</f>
        <v>-</v>
      </c>
      <c r="O185" s="27" t="n">
        <f aca="false">IF($A185="","",IFERROR(VLOOKUP(N185,Schichten!$A$5:$G$24,6,FALSE()),0))</f>
        <v>0</v>
      </c>
      <c r="P185" s="27" t="n">
        <f aca="false">IF($A185="","",IFERROR(VLOOKUP(N185,Schichten!$A$5:$G$24,7,FALSE()),0))</f>
        <v>0</v>
      </c>
      <c r="Q185" s="28" t="str">
        <f aca="false">IF($A185="","",IF(N(O185)=0,"",$A185+VLOOKUP(N185,Schichten!$A$5:$G$24,3,FALSE())))</f>
        <v/>
      </c>
      <c r="R185" s="28" t="str">
        <f aca="false">IF(Q185="","",$A185+VLOOKUP(N185,Schichten!$A$5:$G$24,4,FALSE())+IF(VLOOKUP(N185,Schichten!$A$5:$G$24,4,FALSE())&lt;=VLOOKUP(N185,Schichten!$A$5:$G$24,3,FALSE()),1,0))</f>
        <v/>
      </c>
      <c r="S185" s="28" t="n">
        <f aca="false">IF($A185="","",IF(N(O184)&gt;0,R184,S184))</f>
        <v>46567.25</v>
      </c>
      <c r="T185" s="27" t="str">
        <f aca="false">IF(OR(Q185="",S185=""),"",(Q185-S185)*24)</f>
        <v/>
      </c>
      <c r="U185" s="21" t="n">
        <f aca="false">IF($A185="","",IF(N(O185)&gt;0,N(U184)+1,0))</f>
        <v>0</v>
      </c>
      <c r="V185" s="21" t="n">
        <f aca="false">IF($A185="","",IF(N(P185)&gt;0,N(V184)+1,0))</f>
        <v>0</v>
      </c>
      <c r="W185" s="21" t="str">
        <f aca="false">IF($A185="","",IF(WEEKDAY($A185,2)&lt;&gt;7,"",IF(AND(OR(Q185="",N(Q185)&gt;=$A185+16/24,N(R185)&lt;=$A185+6/24),OR(S185="",N(S185)&lt;=$A185+6/24)),1,0)))</f>
        <v/>
      </c>
      <c r="X185" s="26" t="str">
        <f aca="false">IF($A185="","",IF(INDEX(Muster!$C$8:$BF$8,1,MOD($A185-Einstellungen!$C$6,Einstellungen!$C$7)+1)="","-",INDEX(Muster!$C$8:$BF$8,1,MOD($A185-Einstellungen!$C$6,Einstellungen!$C$7)+1)))</f>
        <v>N</v>
      </c>
      <c r="Y185" s="27" t="n">
        <f aca="false">IF($A185="","",IFERROR(VLOOKUP(X185,Schichten!$A$5:$G$24,6,FALSE()),0))</f>
        <v>8</v>
      </c>
      <c r="Z185" s="27" t="n">
        <f aca="false">IF($A185="","",IFERROR(VLOOKUP(X185,Schichten!$A$5:$G$24,7,FALSE()),0))</f>
        <v>7</v>
      </c>
      <c r="AA185" s="28" t="n">
        <f aca="false">IF($A185="","",IF(N(Y185)=0,"",$A185+VLOOKUP(X185,Schichten!$A$5:$G$24,3,FALSE())))</f>
        <v>46568.9166666667</v>
      </c>
      <c r="AB185" s="28" t="n">
        <f aca="false">IF(AA185="","",$A185+VLOOKUP(X185,Schichten!$A$5:$G$24,4,FALSE())+IF(VLOOKUP(X185,Schichten!$A$5:$G$24,4,FALSE())&lt;=VLOOKUP(X185,Schichten!$A$5:$G$24,3,FALSE()),1,0))</f>
        <v>46569.25</v>
      </c>
      <c r="AC185" s="28" t="n">
        <f aca="false">IF($A185="","",IF(N(Y184)&gt;0,AB184,AC184))</f>
        <v>46568.25</v>
      </c>
      <c r="AD185" s="27" t="n">
        <f aca="false">IF(OR(AA185="",AC185=""),"",(AA185-AC185)*24)</f>
        <v>16</v>
      </c>
      <c r="AE185" s="21" t="n">
        <f aca="false">IF($A185="","",IF(N(Y185)&gt;0,N(AE184)+1,0))</f>
        <v>6</v>
      </c>
      <c r="AF185" s="21" t="n">
        <f aca="false">IF($A185="","",IF(N(Z185)&gt;0,N(AF184)+1,0))</f>
        <v>2</v>
      </c>
      <c r="AG185" s="21" t="str">
        <f aca="false">IF($A185="","",IF(WEEKDAY($A185,2)&lt;&gt;7,"",IF(AND(OR(AA185="",N(AA185)&gt;=$A185+16/24,N(AB185)&lt;=$A185+6/24),OR(AC185="",N(AC185)&lt;=$A185+6/24)),1,0)))</f>
        <v/>
      </c>
      <c r="AH185" s="26" t="str">
        <f aca="false">IF($A185="","",IF(INDEX(Muster!$C$9:$BF$9,1,MOD($A185-Einstellungen!$C$6,Einstellungen!$C$7)+1)="","-",INDEX(Muster!$C$9:$BF$9,1,MOD($A185-Einstellungen!$C$6,Einstellungen!$C$7)+1)))</f>
        <v>S</v>
      </c>
      <c r="AI185" s="27" t="n">
        <f aca="false">IF($A185="","",IFERROR(VLOOKUP(AH185,Schichten!$A$5:$G$24,6,FALSE()),0))</f>
        <v>8</v>
      </c>
      <c r="AJ185" s="27" t="n">
        <f aca="false">IF($A185="","",IFERROR(VLOOKUP(AH185,Schichten!$A$5:$G$24,7,FALSE()),0))</f>
        <v>0</v>
      </c>
      <c r="AK185" s="28" t="n">
        <f aca="false">IF($A185="","",IF(N(AI185)=0,"",$A185+VLOOKUP(AH185,Schichten!$A$5:$G$24,3,FALSE())))</f>
        <v>46568.5833333333</v>
      </c>
      <c r="AL185" s="28" t="n">
        <f aca="false">IF(AK185="","",$A185+VLOOKUP(AH185,Schichten!$A$5:$G$24,4,FALSE())+IF(VLOOKUP(AH185,Schichten!$A$5:$G$24,4,FALSE())&lt;=VLOOKUP(AH185,Schichten!$A$5:$G$24,3,FALSE()),1,0))</f>
        <v>46568.9166666667</v>
      </c>
      <c r="AM185" s="28" t="n">
        <f aca="false">IF($A185="","",IF(N(AI184)&gt;0,AL184,AM184))</f>
        <v>46567.9166666667</v>
      </c>
      <c r="AN185" s="27" t="n">
        <f aca="false">IF(OR(AK185="",AM185=""),"",(AK185-AM185)*24)</f>
        <v>16</v>
      </c>
      <c r="AO185" s="21" t="n">
        <f aca="false">IF($A185="","",IF(N(AI185)&gt;0,N(AO184)+1,0))</f>
        <v>4</v>
      </c>
      <c r="AP185" s="21" t="n">
        <f aca="false">IF($A185="","",IF(N(AJ185)&gt;0,N(AP184)+1,0))</f>
        <v>0</v>
      </c>
      <c r="AQ185" s="21" t="str">
        <f aca="false">IF($A185="","",IF(WEEKDAY($A185,2)&lt;&gt;7,"",IF(AND(OR(AK185="",N(AK185)&gt;=$A185+16/24,N(AL185)&lt;=$A185+6/24),OR(AM185="",N(AM185)&lt;=$A185+6/24)),1,0)))</f>
        <v/>
      </c>
      <c r="AR185" s="26" t="str">
        <f aca="false">IF($A185="","",IF(INDEX(Muster!$C$10:$BF$10,1,MOD($A185-Einstellungen!$C$6,Einstellungen!$C$7)+1)="","-",INDEX(Muster!$C$10:$BF$10,1,MOD($A185-Einstellungen!$C$6,Einstellungen!$C$7)+1)))</f>
        <v>-</v>
      </c>
      <c r="AS185" s="27" t="n">
        <f aca="false">IF($A185="","",IFERROR(VLOOKUP(AR185,Schichten!$A$5:$G$24,6,FALSE()),0))</f>
        <v>0</v>
      </c>
      <c r="AT185" s="27" t="n">
        <f aca="false">IF($A185="","",IFERROR(VLOOKUP(AR185,Schichten!$A$5:$G$24,7,FALSE()),0))</f>
        <v>0</v>
      </c>
      <c r="AU185" s="28" t="str">
        <f aca="false">IF($A185="","",IF(N(AS185)=0,"",$A185+VLOOKUP(AR185,Schichten!$A$5:$G$24,3,FALSE())))</f>
        <v/>
      </c>
      <c r="AV185" s="28" t="str">
        <f aca="false">IF(AU185="","",$A185+VLOOKUP(AR185,Schichten!$A$5:$G$24,4,FALSE())+IF(VLOOKUP(AR185,Schichten!$A$5:$G$24,4,FALSE())&lt;=VLOOKUP(AR185,Schichten!$A$5:$G$24,3,FALSE()),1,0))</f>
        <v/>
      </c>
      <c r="AW185" s="28" t="str">
        <f aca="false">IF($A185="","",IF(N(AS184)&gt;0,AV184,AW184))</f>
        <v/>
      </c>
      <c r="AX185" s="27" t="str">
        <f aca="false">IF(OR(AU185="",AW185=""),"",(AU185-AW185)*24)</f>
        <v/>
      </c>
      <c r="AY185" s="21" t="n">
        <f aca="false">IF($A185="","",IF(N(AS185)&gt;0,N(AY184)+1,0))</f>
        <v>0</v>
      </c>
      <c r="AZ185" s="21" t="n">
        <f aca="false">IF($A185="","",IF(N(AT185)&gt;0,N(AZ184)+1,0))</f>
        <v>0</v>
      </c>
      <c r="BA185" s="21" t="str">
        <f aca="false">IF($A185="","",IF(WEEKDAY($A185,2)&lt;&gt;7,"",IF(AND(OR(AU185="",N(AU185)&gt;=$A185+16/24,N(AV185)&lt;=$A185+6/24),OR(AW185="",N(AW185)&lt;=$A185+6/24)),1,0)))</f>
        <v/>
      </c>
    </row>
    <row r="186" customFormat="false" ht="15" hidden="false" customHeight="false" outlineLevel="0" collapsed="false">
      <c r="A186" s="25" t="n">
        <f aca="false">IF(YEAR(DATE(Einstellungen!$C$4,1,1)+181)=Einstellungen!$C$4,DATE(Einstellungen!$C$4,1,1)+181,"")</f>
        <v>46569</v>
      </c>
      <c r="B186" s="26" t="str">
        <f aca="false">IF($A186="","",CHOOSE(WEEKDAY($A186,2),"Mo","Di","Mi","Do","Fr","Sa","So"))</f>
        <v>Do</v>
      </c>
      <c r="C186" s="26" t="n">
        <f aca="false">IF($A186="","",MONTH($A186))</f>
        <v>7</v>
      </c>
      <c r="D186" s="26" t="str">
        <f aca="false">IF($A186="","",IF(INDEX(Muster!$C$6:$BF$6,1,MOD($A186-Einstellungen!$C$6,Einstellungen!$C$7)+1)="","-",INDEX(Muster!$C$6:$BF$6,1,MOD($A186-Einstellungen!$C$6,Einstellungen!$C$7)+1)))</f>
        <v>S</v>
      </c>
      <c r="E186" s="27" t="n">
        <f aca="false">IF($A186="","",IFERROR(VLOOKUP(D186,Schichten!$A$5:$G$24,6,FALSE()),0))</f>
        <v>8</v>
      </c>
      <c r="F186" s="27" t="n">
        <f aca="false">IF($A186="","",IFERROR(VLOOKUP(D186,Schichten!$A$5:$G$24,7,FALSE()),0))</f>
        <v>0</v>
      </c>
      <c r="G186" s="28" t="n">
        <f aca="false">IF($A186="","",IF(N(E186)=0,"",$A186+VLOOKUP(D186,Schichten!$A$5:$G$24,3,FALSE())))</f>
        <v>46569.5833333333</v>
      </c>
      <c r="H186" s="28" t="n">
        <f aca="false">IF(G186="","",$A186+VLOOKUP(D186,Schichten!$A$5:$G$24,4,FALSE())+IF(VLOOKUP(D186,Schichten!$A$5:$G$24,4,FALSE())&lt;=VLOOKUP(D186,Schichten!$A$5:$G$24,3,FALSE()),1,0))</f>
        <v>46569.9166666667</v>
      </c>
      <c r="I186" s="28" t="n">
        <f aca="false">IF($A186="","",IF(N(E185)&gt;0,H185,I185))</f>
        <v>46568.5833333333</v>
      </c>
      <c r="J186" s="27" t="n">
        <f aca="false">IF(OR(G186="",I186=""),"",(G186-I186)*24)</f>
        <v>24</v>
      </c>
      <c r="K186" s="21" t="n">
        <f aca="false">IF($A186="","",IF(N(E186)&gt;0,N(K185)+1,0))</f>
        <v>3</v>
      </c>
      <c r="L186" s="21" t="n">
        <f aca="false">IF($A186="","",IF(N(F186)&gt;0,N(L185)+1,0))</f>
        <v>0</v>
      </c>
      <c r="M186" s="21" t="str">
        <f aca="false">IF($A186="","",IF(WEEKDAY($A186,2)&lt;&gt;7,"",IF(AND(OR(G186="",N(G186)&gt;=$A186+16/24,N(H186)&lt;=$A186+6/24),OR(I186="",N(I186)&lt;=$A186+6/24)),1,0)))</f>
        <v/>
      </c>
      <c r="N186" s="26" t="str">
        <f aca="false">IF($A186="","",IF(INDEX(Muster!$C$7:$BF$7,1,MOD($A186-Einstellungen!$C$6,Einstellungen!$C$7)+1)="","-",INDEX(Muster!$C$7:$BF$7,1,MOD($A186-Einstellungen!$C$6,Einstellungen!$C$7)+1)))</f>
        <v>F</v>
      </c>
      <c r="O186" s="27" t="n">
        <f aca="false">IF($A186="","",IFERROR(VLOOKUP(N186,Schichten!$A$5:$G$24,6,FALSE()),0))</f>
        <v>8</v>
      </c>
      <c r="P186" s="27" t="n">
        <f aca="false">IF($A186="","",IFERROR(VLOOKUP(N186,Schichten!$A$5:$G$24,7,FALSE()),0))</f>
        <v>0</v>
      </c>
      <c r="Q186" s="28" t="n">
        <f aca="false">IF($A186="","",IF(N(O186)=0,"",$A186+VLOOKUP(N186,Schichten!$A$5:$G$24,3,FALSE())))</f>
        <v>46569.25</v>
      </c>
      <c r="R186" s="28" t="n">
        <f aca="false">IF(Q186="","",$A186+VLOOKUP(N186,Schichten!$A$5:$G$24,4,FALSE())+IF(VLOOKUP(N186,Schichten!$A$5:$G$24,4,FALSE())&lt;=VLOOKUP(N186,Schichten!$A$5:$G$24,3,FALSE()),1,0))</f>
        <v>46569.5833333333</v>
      </c>
      <c r="S186" s="28" t="n">
        <f aca="false">IF($A186="","",IF(N(O185)&gt;0,R185,S185))</f>
        <v>46567.25</v>
      </c>
      <c r="T186" s="27" t="n">
        <f aca="false">IF(OR(Q186="",S186=""),"",(Q186-S186)*24)</f>
        <v>48</v>
      </c>
      <c r="U186" s="21" t="n">
        <f aca="false">IF($A186="","",IF(N(O186)&gt;0,N(U185)+1,0))</f>
        <v>1</v>
      </c>
      <c r="V186" s="21" t="n">
        <f aca="false">IF($A186="","",IF(N(P186)&gt;0,N(V185)+1,0))</f>
        <v>0</v>
      </c>
      <c r="W186" s="21" t="str">
        <f aca="false">IF($A186="","",IF(WEEKDAY($A186,2)&lt;&gt;7,"",IF(AND(OR(Q186="",N(Q186)&gt;=$A186+16/24,N(R186)&lt;=$A186+6/24),OR(S186="",N(S186)&lt;=$A186+6/24)),1,0)))</f>
        <v/>
      </c>
      <c r="X186" s="26" t="str">
        <f aca="false">IF($A186="","",IF(INDEX(Muster!$C$8:$BF$8,1,MOD($A186-Einstellungen!$C$6,Einstellungen!$C$7)+1)="","-",INDEX(Muster!$C$8:$BF$8,1,MOD($A186-Einstellungen!$C$6,Einstellungen!$C$7)+1)))</f>
        <v>-</v>
      </c>
      <c r="Y186" s="27" t="n">
        <f aca="false">IF($A186="","",IFERROR(VLOOKUP(X186,Schichten!$A$5:$G$24,6,FALSE()),0))</f>
        <v>0</v>
      </c>
      <c r="Z186" s="27" t="n">
        <f aca="false">IF($A186="","",IFERROR(VLOOKUP(X186,Schichten!$A$5:$G$24,7,FALSE()),0))</f>
        <v>0</v>
      </c>
      <c r="AA186" s="28" t="str">
        <f aca="false">IF($A186="","",IF(N(Y186)=0,"",$A186+VLOOKUP(X186,Schichten!$A$5:$G$24,3,FALSE())))</f>
        <v/>
      </c>
      <c r="AB186" s="28" t="str">
        <f aca="false">IF(AA186="","",$A186+VLOOKUP(X186,Schichten!$A$5:$G$24,4,FALSE())+IF(VLOOKUP(X186,Schichten!$A$5:$G$24,4,FALSE())&lt;=VLOOKUP(X186,Schichten!$A$5:$G$24,3,FALSE()),1,0))</f>
        <v/>
      </c>
      <c r="AC186" s="28" t="n">
        <f aca="false">IF($A186="","",IF(N(Y185)&gt;0,AB185,AC185))</f>
        <v>46569.25</v>
      </c>
      <c r="AD186" s="27" t="str">
        <f aca="false">IF(OR(AA186="",AC186=""),"",(AA186-AC186)*24)</f>
        <v/>
      </c>
      <c r="AE186" s="21" t="n">
        <f aca="false">IF($A186="","",IF(N(Y186)&gt;0,N(AE185)+1,0))</f>
        <v>0</v>
      </c>
      <c r="AF186" s="21" t="n">
        <f aca="false">IF($A186="","",IF(N(Z186)&gt;0,N(AF185)+1,0))</f>
        <v>0</v>
      </c>
      <c r="AG186" s="21" t="str">
        <f aca="false">IF($A186="","",IF(WEEKDAY($A186,2)&lt;&gt;7,"",IF(AND(OR(AA186="",N(AA186)&gt;=$A186+16/24,N(AB186)&lt;=$A186+6/24),OR(AC186="",N(AC186)&lt;=$A186+6/24)),1,0)))</f>
        <v/>
      </c>
      <c r="AH186" s="26" t="str">
        <f aca="false">IF($A186="","",IF(INDEX(Muster!$C$9:$BF$9,1,MOD($A186-Einstellungen!$C$6,Einstellungen!$C$7)+1)="","-",INDEX(Muster!$C$9:$BF$9,1,MOD($A186-Einstellungen!$C$6,Einstellungen!$C$7)+1)))</f>
        <v>N</v>
      </c>
      <c r="AI186" s="27" t="n">
        <f aca="false">IF($A186="","",IFERROR(VLOOKUP(AH186,Schichten!$A$5:$G$24,6,FALSE()),0))</f>
        <v>8</v>
      </c>
      <c r="AJ186" s="27" t="n">
        <f aca="false">IF($A186="","",IFERROR(VLOOKUP(AH186,Schichten!$A$5:$G$24,7,FALSE()),0))</f>
        <v>7</v>
      </c>
      <c r="AK186" s="28" t="n">
        <f aca="false">IF($A186="","",IF(N(AI186)=0,"",$A186+VLOOKUP(AH186,Schichten!$A$5:$G$24,3,FALSE())))</f>
        <v>46569.9166666667</v>
      </c>
      <c r="AL186" s="28" t="n">
        <f aca="false">IF(AK186="","",$A186+VLOOKUP(AH186,Schichten!$A$5:$G$24,4,FALSE())+IF(VLOOKUP(AH186,Schichten!$A$5:$G$24,4,FALSE())&lt;=VLOOKUP(AH186,Schichten!$A$5:$G$24,3,FALSE()),1,0))</f>
        <v>46570.25</v>
      </c>
      <c r="AM186" s="28" t="n">
        <f aca="false">IF($A186="","",IF(N(AI185)&gt;0,AL185,AM185))</f>
        <v>46568.9166666667</v>
      </c>
      <c r="AN186" s="27" t="n">
        <f aca="false">IF(OR(AK186="",AM186=""),"",(AK186-AM186)*24)</f>
        <v>24</v>
      </c>
      <c r="AO186" s="21" t="n">
        <f aca="false">IF($A186="","",IF(N(AI186)&gt;0,N(AO185)+1,0))</f>
        <v>5</v>
      </c>
      <c r="AP186" s="21" t="n">
        <f aca="false">IF($A186="","",IF(N(AJ186)&gt;0,N(AP185)+1,0))</f>
        <v>1</v>
      </c>
      <c r="AQ186" s="21" t="str">
        <f aca="false">IF($A186="","",IF(WEEKDAY($A186,2)&lt;&gt;7,"",IF(AND(OR(AK186="",N(AK186)&gt;=$A186+16/24,N(AL186)&lt;=$A186+6/24),OR(AM186="",N(AM186)&lt;=$A186+6/24)),1,0)))</f>
        <v/>
      </c>
      <c r="AR186" s="26" t="str">
        <f aca="false">IF($A186="","",IF(INDEX(Muster!$C$10:$BF$10,1,MOD($A186-Einstellungen!$C$6,Einstellungen!$C$7)+1)="","-",INDEX(Muster!$C$10:$BF$10,1,MOD($A186-Einstellungen!$C$6,Einstellungen!$C$7)+1)))</f>
        <v>-</v>
      </c>
      <c r="AS186" s="27" t="n">
        <f aca="false">IF($A186="","",IFERROR(VLOOKUP(AR186,Schichten!$A$5:$G$24,6,FALSE()),0))</f>
        <v>0</v>
      </c>
      <c r="AT186" s="27" t="n">
        <f aca="false">IF($A186="","",IFERROR(VLOOKUP(AR186,Schichten!$A$5:$G$24,7,FALSE()),0))</f>
        <v>0</v>
      </c>
      <c r="AU186" s="28" t="str">
        <f aca="false">IF($A186="","",IF(N(AS186)=0,"",$A186+VLOOKUP(AR186,Schichten!$A$5:$G$24,3,FALSE())))</f>
        <v/>
      </c>
      <c r="AV186" s="28" t="str">
        <f aca="false">IF(AU186="","",$A186+VLOOKUP(AR186,Schichten!$A$5:$G$24,4,FALSE())+IF(VLOOKUP(AR186,Schichten!$A$5:$G$24,4,FALSE())&lt;=VLOOKUP(AR186,Schichten!$A$5:$G$24,3,FALSE()),1,0))</f>
        <v/>
      </c>
      <c r="AW186" s="28" t="str">
        <f aca="false">IF($A186="","",IF(N(AS185)&gt;0,AV185,AW185))</f>
        <v/>
      </c>
      <c r="AX186" s="27" t="str">
        <f aca="false">IF(OR(AU186="",AW186=""),"",(AU186-AW186)*24)</f>
        <v/>
      </c>
      <c r="AY186" s="21" t="n">
        <f aca="false">IF($A186="","",IF(N(AS186)&gt;0,N(AY185)+1,0))</f>
        <v>0</v>
      </c>
      <c r="AZ186" s="21" t="n">
        <f aca="false">IF($A186="","",IF(N(AT186)&gt;0,N(AZ185)+1,0))</f>
        <v>0</v>
      </c>
      <c r="BA186" s="21" t="str">
        <f aca="false">IF($A186="","",IF(WEEKDAY($A186,2)&lt;&gt;7,"",IF(AND(OR(AU186="",N(AU186)&gt;=$A186+16/24,N(AV186)&lt;=$A186+6/24),OR(AW186="",N(AW186)&lt;=$A186+6/24)),1,0)))</f>
        <v/>
      </c>
    </row>
    <row r="187" customFormat="false" ht="15" hidden="false" customHeight="false" outlineLevel="0" collapsed="false">
      <c r="A187" s="25" t="n">
        <f aca="false">IF(YEAR(DATE(Einstellungen!$C$4,1,1)+182)=Einstellungen!$C$4,DATE(Einstellungen!$C$4,1,1)+182,"")</f>
        <v>46570</v>
      </c>
      <c r="B187" s="26" t="str">
        <f aca="false">IF($A187="","",CHOOSE(WEEKDAY($A187,2),"Mo","Di","Mi","Do","Fr","Sa","So"))</f>
        <v>Fr</v>
      </c>
      <c r="C187" s="26" t="n">
        <f aca="false">IF($A187="","",MONTH($A187))</f>
        <v>7</v>
      </c>
      <c r="D187" s="26" t="str">
        <f aca="false">IF($A187="","",IF(INDEX(Muster!$C$6:$BF$6,1,MOD($A187-Einstellungen!$C$6,Einstellungen!$C$7)+1)="","-",INDEX(Muster!$C$6:$BF$6,1,MOD($A187-Einstellungen!$C$6,Einstellungen!$C$7)+1)))</f>
        <v>S</v>
      </c>
      <c r="E187" s="27" t="n">
        <f aca="false">IF($A187="","",IFERROR(VLOOKUP(D187,Schichten!$A$5:$G$24,6,FALSE()),0))</f>
        <v>8</v>
      </c>
      <c r="F187" s="27" t="n">
        <f aca="false">IF($A187="","",IFERROR(VLOOKUP(D187,Schichten!$A$5:$G$24,7,FALSE()),0))</f>
        <v>0</v>
      </c>
      <c r="G187" s="28" t="n">
        <f aca="false">IF($A187="","",IF(N(E187)=0,"",$A187+VLOOKUP(D187,Schichten!$A$5:$G$24,3,FALSE())))</f>
        <v>46570.5833333333</v>
      </c>
      <c r="H187" s="28" t="n">
        <f aca="false">IF(G187="","",$A187+VLOOKUP(D187,Schichten!$A$5:$G$24,4,FALSE())+IF(VLOOKUP(D187,Schichten!$A$5:$G$24,4,FALSE())&lt;=VLOOKUP(D187,Schichten!$A$5:$G$24,3,FALSE()),1,0))</f>
        <v>46570.9166666667</v>
      </c>
      <c r="I187" s="28" t="n">
        <f aca="false">IF($A187="","",IF(N(E186)&gt;0,H186,I186))</f>
        <v>46569.9166666667</v>
      </c>
      <c r="J187" s="27" t="n">
        <f aca="false">IF(OR(G187="",I187=""),"",(G187-I187)*24)</f>
        <v>16</v>
      </c>
      <c r="K187" s="21" t="n">
        <f aca="false">IF($A187="","",IF(N(E187)&gt;0,N(K186)+1,0))</f>
        <v>4</v>
      </c>
      <c r="L187" s="21" t="n">
        <f aca="false">IF($A187="","",IF(N(F187)&gt;0,N(L186)+1,0))</f>
        <v>0</v>
      </c>
      <c r="M187" s="21" t="str">
        <f aca="false">IF($A187="","",IF(WEEKDAY($A187,2)&lt;&gt;7,"",IF(AND(OR(G187="",N(G187)&gt;=$A187+16/24,N(H187)&lt;=$A187+6/24),OR(I187="",N(I187)&lt;=$A187+6/24)),1,0)))</f>
        <v/>
      </c>
      <c r="N187" s="26" t="str">
        <f aca="false">IF($A187="","",IF(INDEX(Muster!$C$7:$BF$7,1,MOD($A187-Einstellungen!$C$6,Einstellungen!$C$7)+1)="","-",INDEX(Muster!$C$7:$BF$7,1,MOD($A187-Einstellungen!$C$6,Einstellungen!$C$7)+1)))</f>
        <v>F</v>
      </c>
      <c r="O187" s="27" t="n">
        <f aca="false">IF($A187="","",IFERROR(VLOOKUP(N187,Schichten!$A$5:$G$24,6,FALSE()),0))</f>
        <v>8</v>
      </c>
      <c r="P187" s="27" t="n">
        <f aca="false">IF($A187="","",IFERROR(VLOOKUP(N187,Schichten!$A$5:$G$24,7,FALSE()),0))</f>
        <v>0</v>
      </c>
      <c r="Q187" s="28" t="n">
        <f aca="false">IF($A187="","",IF(N(O187)=0,"",$A187+VLOOKUP(N187,Schichten!$A$5:$G$24,3,FALSE())))</f>
        <v>46570.25</v>
      </c>
      <c r="R187" s="28" t="n">
        <f aca="false">IF(Q187="","",$A187+VLOOKUP(N187,Schichten!$A$5:$G$24,4,FALSE())+IF(VLOOKUP(N187,Schichten!$A$5:$G$24,4,FALSE())&lt;=VLOOKUP(N187,Schichten!$A$5:$G$24,3,FALSE()),1,0))</f>
        <v>46570.5833333333</v>
      </c>
      <c r="S187" s="28" t="n">
        <f aca="false">IF($A187="","",IF(N(O186)&gt;0,R186,S186))</f>
        <v>46569.5833333333</v>
      </c>
      <c r="T187" s="27" t="n">
        <f aca="false">IF(OR(Q187="",S187=""),"",(Q187-S187)*24)</f>
        <v>16</v>
      </c>
      <c r="U187" s="21" t="n">
        <f aca="false">IF($A187="","",IF(N(O187)&gt;0,N(U186)+1,0))</f>
        <v>2</v>
      </c>
      <c r="V187" s="21" t="n">
        <f aca="false">IF($A187="","",IF(N(P187)&gt;0,N(V186)+1,0))</f>
        <v>0</v>
      </c>
      <c r="W187" s="21" t="str">
        <f aca="false">IF($A187="","",IF(WEEKDAY($A187,2)&lt;&gt;7,"",IF(AND(OR(Q187="",N(Q187)&gt;=$A187+16/24,N(R187)&lt;=$A187+6/24),OR(S187="",N(S187)&lt;=$A187+6/24)),1,0)))</f>
        <v/>
      </c>
      <c r="X187" s="26" t="str">
        <f aca="false">IF($A187="","",IF(INDEX(Muster!$C$8:$BF$8,1,MOD($A187-Einstellungen!$C$6,Einstellungen!$C$7)+1)="","-",INDEX(Muster!$C$8:$BF$8,1,MOD($A187-Einstellungen!$C$6,Einstellungen!$C$7)+1)))</f>
        <v>-</v>
      </c>
      <c r="Y187" s="27" t="n">
        <f aca="false">IF($A187="","",IFERROR(VLOOKUP(X187,Schichten!$A$5:$G$24,6,FALSE()),0))</f>
        <v>0</v>
      </c>
      <c r="Z187" s="27" t="n">
        <f aca="false">IF($A187="","",IFERROR(VLOOKUP(X187,Schichten!$A$5:$G$24,7,FALSE()),0))</f>
        <v>0</v>
      </c>
      <c r="AA187" s="28" t="str">
        <f aca="false">IF($A187="","",IF(N(Y187)=0,"",$A187+VLOOKUP(X187,Schichten!$A$5:$G$24,3,FALSE())))</f>
        <v/>
      </c>
      <c r="AB187" s="28" t="str">
        <f aca="false">IF(AA187="","",$A187+VLOOKUP(X187,Schichten!$A$5:$G$24,4,FALSE())+IF(VLOOKUP(X187,Schichten!$A$5:$G$24,4,FALSE())&lt;=VLOOKUP(X187,Schichten!$A$5:$G$24,3,FALSE()),1,0))</f>
        <v/>
      </c>
      <c r="AC187" s="28" t="n">
        <f aca="false">IF($A187="","",IF(N(Y186)&gt;0,AB186,AC186))</f>
        <v>46569.25</v>
      </c>
      <c r="AD187" s="27" t="str">
        <f aca="false">IF(OR(AA187="",AC187=""),"",(AA187-AC187)*24)</f>
        <v/>
      </c>
      <c r="AE187" s="21" t="n">
        <f aca="false">IF($A187="","",IF(N(Y187)&gt;0,N(AE186)+1,0))</f>
        <v>0</v>
      </c>
      <c r="AF187" s="21" t="n">
        <f aca="false">IF($A187="","",IF(N(Z187)&gt;0,N(AF186)+1,0))</f>
        <v>0</v>
      </c>
      <c r="AG187" s="21" t="str">
        <f aca="false">IF($A187="","",IF(WEEKDAY($A187,2)&lt;&gt;7,"",IF(AND(OR(AA187="",N(AA187)&gt;=$A187+16/24,N(AB187)&lt;=$A187+6/24),OR(AC187="",N(AC187)&lt;=$A187+6/24)),1,0)))</f>
        <v/>
      </c>
      <c r="AH187" s="26" t="str">
        <f aca="false">IF($A187="","",IF(INDEX(Muster!$C$9:$BF$9,1,MOD($A187-Einstellungen!$C$6,Einstellungen!$C$7)+1)="","-",INDEX(Muster!$C$9:$BF$9,1,MOD($A187-Einstellungen!$C$6,Einstellungen!$C$7)+1)))</f>
        <v>N</v>
      </c>
      <c r="AI187" s="27" t="n">
        <f aca="false">IF($A187="","",IFERROR(VLOOKUP(AH187,Schichten!$A$5:$G$24,6,FALSE()),0))</f>
        <v>8</v>
      </c>
      <c r="AJ187" s="27" t="n">
        <f aca="false">IF($A187="","",IFERROR(VLOOKUP(AH187,Schichten!$A$5:$G$24,7,FALSE()),0))</f>
        <v>7</v>
      </c>
      <c r="AK187" s="28" t="n">
        <f aca="false">IF($A187="","",IF(N(AI187)=0,"",$A187+VLOOKUP(AH187,Schichten!$A$5:$G$24,3,FALSE())))</f>
        <v>46570.9166666667</v>
      </c>
      <c r="AL187" s="28" t="n">
        <f aca="false">IF(AK187="","",$A187+VLOOKUP(AH187,Schichten!$A$5:$G$24,4,FALSE())+IF(VLOOKUP(AH187,Schichten!$A$5:$G$24,4,FALSE())&lt;=VLOOKUP(AH187,Schichten!$A$5:$G$24,3,FALSE()),1,0))</f>
        <v>46571.25</v>
      </c>
      <c r="AM187" s="28" t="n">
        <f aca="false">IF($A187="","",IF(N(AI186)&gt;0,AL186,AM186))</f>
        <v>46570.25</v>
      </c>
      <c r="AN187" s="27" t="n">
        <f aca="false">IF(OR(AK187="",AM187=""),"",(AK187-AM187)*24)</f>
        <v>16</v>
      </c>
      <c r="AO187" s="21" t="n">
        <f aca="false">IF($A187="","",IF(N(AI187)&gt;0,N(AO186)+1,0))</f>
        <v>6</v>
      </c>
      <c r="AP187" s="21" t="n">
        <f aca="false">IF($A187="","",IF(N(AJ187)&gt;0,N(AP186)+1,0))</f>
        <v>2</v>
      </c>
      <c r="AQ187" s="21" t="str">
        <f aca="false">IF($A187="","",IF(WEEKDAY($A187,2)&lt;&gt;7,"",IF(AND(OR(AK187="",N(AK187)&gt;=$A187+16/24,N(AL187)&lt;=$A187+6/24),OR(AM187="",N(AM187)&lt;=$A187+6/24)),1,0)))</f>
        <v/>
      </c>
      <c r="AR187" s="26" t="str">
        <f aca="false">IF($A187="","",IF(INDEX(Muster!$C$10:$BF$10,1,MOD($A187-Einstellungen!$C$6,Einstellungen!$C$7)+1)="","-",INDEX(Muster!$C$10:$BF$10,1,MOD($A187-Einstellungen!$C$6,Einstellungen!$C$7)+1)))</f>
        <v>-</v>
      </c>
      <c r="AS187" s="27" t="n">
        <f aca="false">IF($A187="","",IFERROR(VLOOKUP(AR187,Schichten!$A$5:$G$24,6,FALSE()),0))</f>
        <v>0</v>
      </c>
      <c r="AT187" s="27" t="n">
        <f aca="false">IF($A187="","",IFERROR(VLOOKUP(AR187,Schichten!$A$5:$G$24,7,FALSE()),0))</f>
        <v>0</v>
      </c>
      <c r="AU187" s="28" t="str">
        <f aca="false">IF($A187="","",IF(N(AS187)=0,"",$A187+VLOOKUP(AR187,Schichten!$A$5:$G$24,3,FALSE())))</f>
        <v/>
      </c>
      <c r="AV187" s="28" t="str">
        <f aca="false">IF(AU187="","",$A187+VLOOKUP(AR187,Schichten!$A$5:$G$24,4,FALSE())+IF(VLOOKUP(AR187,Schichten!$A$5:$G$24,4,FALSE())&lt;=VLOOKUP(AR187,Schichten!$A$5:$G$24,3,FALSE()),1,0))</f>
        <v/>
      </c>
      <c r="AW187" s="28" t="str">
        <f aca="false">IF($A187="","",IF(N(AS186)&gt;0,AV186,AW186))</f>
        <v/>
      </c>
      <c r="AX187" s="27" t="str">
        <f aca="false">IF(OR(AU187="",AW187=""),"",(AU187-AW187)*24)</f>
        <v/>
      </c>
      <c r="AY187" s="21" t="n">
        <f aca="false">IF($A187="","",IF(N(AS187)&gt;0,N(AY186)+1,0))</f>
        <v>0</v>
      </c>
      <c r="AZ187" s="21" t="n">
        <f aca="false">IF($A187="","",IF(N(AT187)&gt;0,N(AZ186)+1,0))</f>
        <v>0</v>
      </c>
      <c r="BA187" s="21" t="str">
        <f aca="false">IF($A187="","",IF(WEEKDAY($A187,2)&lt;&gt;7,"",IF(AND(OR(AU187="",N(AU187)&gt;=$A187+16/24,N(AV187)&lt;=$A187+6/24),OR(AW187="",N(AW187)&lt;=$A187+6/24)),1,0)))</f>
        <v/>
      </c>
    </row>
    <row r="188" customFormat="false" ht="15" hidden="false" customHeight="false" outlineLevel="0" collapsed="false">
      <c r="A188" s="25" t="n">
        <f aca="false">IF(YEAR(DATE(Einstellungen!$C$4,1,1)+183)=Einstellungen!$C$4,DATE(Einstellungen!$C$4,1,1)+183,"")</f>
        <v>46571</v>
      </c>
      <c r="B188" s="26" t="str">
        <f aca="false">IF($A188="","",CHOOSE(WEEKDAY($A188,2),"Mo","Di","Mi","Do","Fr","Sa","So"))</f>
        <v>Sa</v>
      </c>
      <c r="C188" s="26" t="n">
        <f aca="false">IF($A188="","",MONTH($A188))</f>
        <v>7</v>
      </c>
      <c r="D188" s="26" t="str">
        <f aca="false">IF($A188="","",IF(INDEX(Muster!$C$6:$BF$6,1,MOD($A188-Einstellungen!$C$6,Einstellungen!$C$7)+1)="","-",INDEX(Muster!$C$6:$BF$6,1,MOD($A188-Einstellungen!$C$6,Einstellungen!$C$7)+1)))</f>
        <v>N</v>
      </c>
      <c r="E188" s="27" t="n">
        <f aca="false">IF($A188="","",IFERROR(VLOOKUP(D188,Schichten!$A$5:$G$24,6,FALSE()),0))</f>
        <v>8</v>
      </c>
      <c r="F188" s="27" t="n">
        <f aca="false">IF($A188="","",IFERROR(VLOOKUP(D188,Schichten!$A$5:$G$24,7,FALSE()),0))</f>
        <v>7</v>
      </c>
      <c r="G188" s="28" t="n">
        <f aca="false">IF($A188="","",IF(N(E188)=0,"",$A188+VLOOKUP(D188,Schichten!$A$5:$G$24,3,FALSE())))</f>
        <v>46571.9166666667</v>
      </c>
      <c r="H188" s="28" t="n">
        <f aca="false">IF(G188="","",$A188+VLOOKUP(D188,Schichten!$A$5:$G$24,4,FALSE())+IF(VLOOKUP(D188,Schichten!$A$5:$G$24,4,FALSE())&lt;=VLOOKUP(D188,Schichten!$A$5:$G$24,3,FALSE()),1,0))</f>
        <v>46572.25</v>
      </c>
      <c r="I188" s="28" t="n">
        <f aca="false">IF($A188="","",IF(N(E187)&gt;0,H187,I187))</f>
        <v>46570.9166666667</v>
      </c>
      <c r="J188" s="27" t="n">
        <f aca="false">IF(OR(G188="",I188=""),"",(G188-I188)*24)</f>
        <v>24</v>
      </c>
      <c r="K188" s="21" t="n">
        <f aca="false">IF($A188="","",IF(N(E188)&gt;0,N(K187)+1,0))</f>
        <v>5</v>
      </c>
      <c r="L188" s="21" t="n">
        <f aca="false">IF($A188="","",IF(N(F188)&gt;0,N(L187)+1,0))</f>
        <v>1</v>
      </c>
      <c r="M188" s="21" t="str">
        <f aca="false">IF($A188="","",IF(WEEKDAY($A188,2)&lt;&gt;7,"",IF(AND(OR(G188="",N(G188)&gt;=$A188+16/24,N(H188)&lt;=$A188+6/24),OR(I188="",N(I188)&lt;=$A188+6/24)),1,0)))</f>
        <v/>
      </c>
      <c r="N188" s="26" t="str">
        <f aca="false">IF($A188="","",IF(INDEX(Muster!$C$7:$BF$7,1,MOD($A188-Einstellungen!$C$6,Einstellungen!$C$7)+1)="","-",INDEX(Muster!$C$7:$BF$7,1,MOD($A188-Einstellungen!$C$6,Einstellungen!$C$7)+1)))</f>
        <v>S</v>
      </c>
      <c r="O188" s="27" t="n">
        <f aca="false">IF($A188="","",IFERROR(VLOOKUP(N188,Schichten!$A$5:$G$24,6,FALSE()),0))</f>
        <v>8</v>
      </c>
      <c r="P188" s="27" t="n">
        <f aca="false">IF($A188="","",IFERROR(VLOOKUP(N188,Schichten!$A$5:$G$24,7,FALSE()),0))</f>
        <v>0</v>
      </c>
      <c r="Q188" s="28" t="n">
        <f aca="false">IF($A188="","",IF(N(O188)=0,"",$A188+VLOOKUP(N188,Schichten!$A$5:$G$24,3,FALSE())))</f>
        <v>46571.5833333333</v>
      </c>
      <c r="R188" s="28" t="n">
        <f aca="false">IF(Q188="","",$A188+VLOOKUP(N188,Schichten!$A$5:$G$24,4,FALSE())+IF(VLOOKUP(N188,Schichten!$A$5:$G$24,4,FALSE())&lt;=VLOOKUP(N188,Schichten!$A$5:$G$24,3,FALSE()),1,0))</f>
        <v>46571.9166666667</v>
      </c>
      <c r="S188" s="28" t="n">
        <f aca="false">IF($A188="","",IF(N(O187)&gt;0,R187,S187))</f>
        <v>46570.5833333333</v>
      </c>
      <c r="T188" s="27" t="n">
        <f aca="false">IF(OR(Q188="",S188=""),"",(Q188-S188)*24)</f>
        <v>24</v>
      </c>
      <c r="U188" s="21" t="n">
        <f aca="false">IF($A188="","",IF(N(O188)&gt;0,N(U187)+1,0))</f>
        <v>3</v>
      </c>
      <c r="V188" s="21" t="n">
        <f aca="false">IF($A188="","",IF(N(P188)&gt;0,N(V187)+1,0))</f>
        <v>0</v>
      </c>
      <c r="W188" s="21" t="str">
        <f aca="false">IF($A188="","",IF(WEEKDAY($A188,2)&lt;&gt;7,"",IF(AND(OR(Q188="",N(Q188)&gt;=$A188+16/24,N(R188)&lt;=$A188+6/24),OR(S188="",N(S188)&lt;=$A188+6/24)),1,0)))</f>
        <v/>
      </c>
      <c r="X188" s="26" t="str">
        <f aca="false">IF($A188="","",IF(INDEX(Muster!$C$8:$BF$8,1,MOD($A188-Einstellungen!$C$6,Einstellungen!$C$7)+1)="","-",INDEX(Muster!$C$8:$BF$8,1,MOD($A188-Einstellungen!$C$6,Einstellungen!$C$7)+1)))</f>
        <v>F</v>
      </c>
      <c r="Y188" s="27" t="n">
        <f aca="false">IF($A188="","",IFERROR(VLOOKUP(X188,Schichten!$A$5:$G$24,6,FALSE()),0))</f>
        <v>8</v>
      </c>
      <c r="Z188" s="27" t="n">
        <f aca="false">IF($A188="","",IFERROR(VLOOKUP(X188,Schichten!$A$5:$G$24,7,FALSE()),0))</f>
        <v>0</v>
      </c>
      <c r="AA188" s="28" t="n">
        <f aca="false">IF($A188="","",IF(N(Y188)=0,"",$A188+VLOOKUP(X188,Schichten!$A$5:$G$24,3,FALSE())))</f>
        <v>46571.25</v>
      </c>
      <c r="AB188" s="28" t="n">
        <f aca="false">IF(AA188="","",$A188+VLOOKUP(X188,Schichten!$A$5:$G$24,4,FALSE())+IF(VLOOKUP(X188,Schichten!$A$5:$G$24,4,FALSE())&lt;=VLOOKUP(X188,Schichten!$A$5:$G$24,3,FALSE()),1,0))</f>
        <v>46571.5833333333</v>
      </c>
      <c r="AC188" s="28" t="n">
        <f aca="false">IF($A188="","",IF(N(Y187)&gt;0,AB187,AC187))</f>
        <v>46569.25</v>
      </c>
      <c r="AD188" s="27" t="n">
        <f aca="false">IF(OR(AA188="",AC188=""),"",(AA188-AC188)*24)</f>
        <v>48</v>
      </c>
      <c r="AE188" s="21" t="n">
        <f aca="false">IF($A188="","",IF(N(Y188)&gt;0,N(AE187)+1,0))</f>
        <v>1</v>
      </c>
      <c r="AF188" s="21" t="n">
        <f aca="false">IF($A188="","",IF(N(Z188)&gt;0,N(AF187)+1,0))</f>
        <v>0</v>
      </c>
      <c r="AG188" s="21" t="str">
        <f aca="false">IF($A188="","",IF(WEEKDAY($A188,2)&lt;&gt;7,"",IF(AND(OR(AA188="",N(AA188)&gt;=$A188+16/24,N(AB188)&lt;=$A188+6/24),OR(AC188="",N(AC188)&lt;=$A188+6/24)),1,0)))</f>
        <v/>
      </c>
      <c r="AH188" s="26" t="str">
        <f aca="false">IF($A188="","",IF(INDEX(Muster!$C$9:$BF$9,1,MOD($A188-Einstellungen!$C$6,Einstellungen!$C$7)+1)="","-",INDEX(Muster!$C$9:$BF$9,1,MOD($A188-Einstellungen!$C$6,Einstellungen!$C$7)+1)))</f>
        <v>-</v>
      </c>
      <c r="AI188" s="27" t="n">
        <f aca="false">IF($A188="","",IFERROR(VLOOKUP(AH188,Schichten!$A$5:$G$24,6,FALSE()),0))</f>
        <v>0</v>
      </c>
      <c r="AJ188" s="27" t="n">
        <f aca="false">IF($A188="","",IFERROR(VLOOKUP(AH188,Schichten!$A$5:$G$24,7,FALSE()),0))</f>
        <v>0</v>
      </c>
      <c r="AK188" s="28" t="str">
        <f aca="false">IF($A188="","",IF(N(AI188)=0,"",$A188+VLOOKUP(AH188,Schichten!$A$5:$G$24,3,FALSE())))</f>
        <v/>
      </c>
      <c r="AL188" s="28" t="str">
        <f aca="false">IF(AK188="","",$A188+VLOOKUP(AH188,Schichten!$A$5:$G$24,4,FALSE())+IF(VLOOKUP(AH188,Schichten!$A$5:$G$24,4,FALSE())&lt;=VLOOKUP(AH188,Schichten!$A$5:$G$24,3,FALSE()),1,0))</f>
        <v/>
      </c>
      <c r="AM188" s="28" t="n">
        <f aca="false">IF($A188="","",IF(N(AI187)&gt;0,AL187,AM187))</f>
        <v>46571.25</v>
      </c>
      <c r="AN188" s="27" t="str">
        <f aca="false">IF(OR(AK188="",AM188=""),"",(AK188-AM188)*24)</f>
        <v/>
      </c>
      <c r="AO188" s="21" t="n">
        <f aca="false">IF($A188="","",IF(N(AI188)&gt;0,N(AO187)+1,0))</f>
        <v>0</v>
      </c>
      <c r="AP188" s="21" t="n">
        <f aca="false">IF($A188="","",IF(N(AJ188)&gt;0,N(AP187)+1,0))</f>
        <v>0</v>
      </c>
      <c r="AQ188" s="21" t="str">
        <f aca="false">IF($A188="","",IF(WEEKDAY($A188,2)&lt;&gt;7,"",IF(AND(OR(AK188="",N(AK188)&gt;=$A188+16/24,N(AL188)&lt;=$A188+6/24),OR(AM188="",N(AM188)&lt;=$A188+6/24)),1,0)))</f>
        <v/>
      </c>
      <c r="AR188" s="26" t="str">
        <f aca="false">IF($A188="","",IF(INDEX(Muster!$C$10:$BF$10,1,MOD($A188-Einstellungen!$C$6,Einstellungen!$C$7)+1)="","-",INDEX(Muster!$C$10:$BF$10,1,MOD($A188-Einstellungen!$C$6,Einstellungen!$C$7)+1)))</f>
        <v>-</v>
      </c>
      <c r="AS188" s="27" t="n">
        <f aca="false">IF($A188="","",IFERROR(VLOOKUP(AR188,Schichten!$A$5:$G$24,6,FALSE()),0))</f>
        <v>0</v>
      </c>
      <c r="AT188" s="27" t="n">
        <f aca="false">IF($A188="","",IFERROR(VLOOKUP(AR188,Schichten!$A$5:$G$24,7,FALSE()),0))</f>
        <v>0</v>
      </c>
      <c r="AU188" s="28" t="str">
        <f aca="false">IF($A188="","",IF(N(AS188)=0,"",$A188+VLOOKUP(AR188,Schichten!$A$5:$G$24,3,FALSE())))</f>
        <v/>
      </c>
      <c r="AV188" s="28" t="str">
        <f aca="false">IF(AU188="","",$A188+VLOOKUP(AR188,Schichten!$A$5:$G$24,4,FALSE())+IF(VLOOKUP(AR188,Schichten!$A$5:$G$24,4,FALSE())&lt;=VLOOKUP(AR188,Schichten!$A$5:$G$24,3,FALSE()),1,0))</f>
        <v/>
      </c>
      <c r="AW188" s="28" t="str">
        <f aca="false">IF($A188="","",IF(N(AS187)&gt;0,AV187,AW187))</f>
        <v/>
      </c>
      <c r="AX188" s="27" t="str">
        <f aca="false">IF(OR(AU188="",AW188=""),"",(AU188-AW188)*24)</f>
        <v/>
      </c>
      <c r="AY188" s="21" t="n">
        <f aca="false">IF($A188="","",IF(N(AS188)&gt;0,N(AY187)+1,0))</f>
        <v>0</v>
      </c>
      <c r="AZ188" s="21" t="n">
        <f aca="false">IF($A188="","",IF(N(AT188)&gt;0,N(AZ187)+1,0))</f>
        <v>0</v>
      </c>
      <c r="BA188" s="21" t="str">
        <f aca="false">IF($A188="","",IF(WEEKDAY($A188,2)&lt;&gt;7,"",IF(AND(OR(AU188="",N(AU188)&gt;=$A188+16/24,N(AV188)&lt;=$A188+6/24),OR(AW188="",N(AW188)&lt;=$A188+6/24)),1,0)))</f>
        <v/>
      </c>
    </row>
    <row r="189" customFormat="false" ht="15" hidden="false" customHeight="false" outlineLevel="0" collapsed="false">
      <c r="A189" s="25" t="n">
        <f aca="false">IF(YEAR(DATE(Einstellungen!$C$4,1,1)+184)=Einstellungen!$C$4,DATE(Einstellungen!$C$4,1,1)+184,"")</f>
        <v>46572</v>
      </c>
      <c r="B189" s="26" t="str">
        <f aca="false">IF($A189="","",CHOOSE(WEEKDAY($A189,2),"Mo","Di","Mi","Do","Fr","Sa","So"))</f>
        <v>So</v>
      </c>
      <c r="C189" s="26" t="n">
        <f aca="false">IF($A189="","",MONTH($A189))</f>
        <v>7</v>
      </c>
      <c r="D189" s="26" t="str">
        <f aca="false">IF($A189="","",IF(INDEX(Muster!$C$6:$BF$6,1,MOD($A189-Einstellungen!$C$6,Einstellungen!$C$7)+1)="","-",INDEX(Muster!$C$6:$BF$6,1,MOD($A189-Einstellungen!$C$6,Einstellungen!$C$7)+1)))</f>
        <v>N</v>
      </c>
      <c r="E189" s="27" t="n">
        <f aca="false">IF($A189="","",IFERROR(VLOOKUP(D189,Schichten!$A$5:$G$24,6,FALSE()),0))</f>
        <v>8</v>
      </c>
      <c r="F189" s="27" t="n">
        <f aca="false">IF($A189="","",IFERROR(VLOOKUP(D189,Schichten!$A$5:$G$24,7,FALSE()),0))</f>
        <v>7</v>
      </c>
      <c r="G189" s="28" t="n">
        <f aca="false">IF($A189="","",IF(N(E189)=0,"",$A189+VLOOKUP(D189,Schichten!$A$5:$G$24,3,FALSE())))</f>
        <v>46572.9166666667</v>
      </c>
      <c r="H189" s="28" t="n">
        <f aca="false">IF(G189="","",$A189+VLOOKUP(D189,Schichten!$A$5:$G$24,4,FALSE())+IF(VLOOKUP(D189,Schichten!$A$5:$G$24,4,FALSE())&lt;=VLOOKUP(D189,Schichten!$A$5:$G$24,3,FALSE()),1,0))</f>
        <v>46573.25</v>
      </c>
      <c r="I189" s="28" t="n">
        <f aca="false">IF($A189="","",IF(N(E188)&gt;0,H188,I188))</f>
        <v>46572.25</v>
      </c>
      <c r="J189" s="27" t="n">
        <f aca="false">IF(OR(G189="",I189=""),"",(G189-I189)*24)</f>
        <v>16</v>
      </c>
      <c r="K189" s="21" t="n">
        <f aca="false">IF($A189="","",IF(N(E189)&gt;0,N(K188)+1,0))</f>
        <v>6</v>
      </c>
      <c r="L189" s="21" t="n">
        <f aca="false">IF($A189="","",IF(N(F189)&gt;0,N(L188)+1,0))</f>
        <v>2</v>
      </c>
      <c r="M189" s="21" t="n">
        <f aca="false">IF($A189="","",IF(WEEKDAY($A189,2)&lt;&gt;7,"",IF(AND(OR(G189="",N(G189)&gt;=$A189+16/24,N(H189)&lt;=$A189+6/24),OR(I189="",N(I189)&lt;=$A189+6/24)),1,0)))</f>
        <v>1</v>
      </c>
      <c r="N189" s="26" t="str">
        <f aca="false">IF($A189="","",IF(INDEX(Muster!$C$7:$BF$7,1,MOD($A189-Einstellungen!$C$6,Einstellungen!$C$7)+1)="","-",INDEX(Muster!$C$7:$BF$7,1,MOD($A189-Einstellungen!$C$6,Einstellungen!$C$7)+1)))</f>
        <v>S</v>
      </c>
      <c r="O189" s="27" t="n">
        <f aca="false">IF($A189="","",IFERROR(VLOOKUP(N189,Schichten!$A$5:$G$24,6,FALSE()),0))</f>
        <v>8</v>
      </c>
      <c r="P189" s="27" t="n">
        <f aca="false">IF($A189="","",IFERROR(VLOOKUP(N189,Schichten!$A$5:$G$24,7,FALSE()),0))</f>
        <v>0</v>
      </c>
      <c r="Q189" s="28" t="n">
        <f aca="false">IF($A189="","",IF(N(O189)=0,"",$A189+VLOOKUP(N189,Schichten!$A$5:$G$24,3,FALSE())))</f>
        <v>46572.5833333333</v>
      </c>
      <c r="R189" s="28" t="n">
        <f aca="false">IF(Q189="","",$A189+VLOOKUP(N189,Schichten!$A$5:$G$24,4,FALSE())+IF(VLOOKUP(N189,Schichten!$A$5:$G$24,4,FALSE())&lt;=VLOOKUP(N189,Schichten!$A$5:$G$24,3,FALSE()),1,0))</f>
        <v>46572.9166666667</v>
      </c>
      <c r="S189" s="28" t="n">
        <f aca="false">IF($A189="","",IF(N(O188)&gt;0,R188,S188))</f>
        <v>46571.9166666667</v>
      </c>
      <c r="T189" s="27" t="n">
        <f aca="false">IF(OR(Q189="",S189=""),"",(Q189-S189)*24)</f>
        <v>16</v>
      </c>
      <c r="U189" s="21" t="n">
        <f aca="false">IF($A189="","",IF(N(O189)&gt;0,N(U188)+1,0))</f>
        <v>4</v>
      </c>
      <c r="V189" s="21" t="n">
        <f aca="false">IF($A189="","",IF(N(P189)&gt;0,N(V188)+1,0))</f>
        <v>0</v>
      </c>
      <c r="W189" s="21" t="n">
        <f aca="false">IF($A189="","",IF(WEEKDAY($A189,2)&lt;&gt;7,"",IF(AND(OR(Q189="",N(Q189)&gt;=$A189+16/24,N(R189)&lt;=$A189+6/24),OR(S189="",N(S189)&lt;=$A189+6/24)),1,0)))</f>
        <v>0</v>
      </c>
      <c r="X189" s="26" t="str">
        <f aca="false">IF($A189="","",IF(INDEX(Muster!$C$8:$BF$8,1,MOD($A189-Einstellungen!$C$6,Einstellungen!$C$7)+1)="","-",INDEX(Muster!$C$8:$BF$8,1,MOD($A189-Einstellungen!$C$6,Einstellungen!$C$7)+1)))</f>
        <v>F</v>
      </c>
      <c r="Y189" s="27" t="n">
        <f aca="false">IF($A189="","",IFERROR(VLOOKUP(X189,Schichten!$A$5:$G$24,6,FALSE()),0))</f>
        <v>8</v>
      </c>
      <c r="Z189" s="27" t="n">
        <f aca="false">IF($A189="","",IFERROR(VLOOKUP(X189,Schichten!$A$5:$G$24,7,FALSE()),0))</f>
        <v>0</v>
      </c>
      <c r="AA189" s="28" t="n">
        <f aca="false">IF($A189="","",IF(N(Y189)=0,"",$A189+VLOOKUP(X189,Schichten!$A$5:$G$24,3,FALSE())))</f>
        <v>46572.25</v>
      </c>
      <c r="AB189" s="28" t="n">
        <f aca="false">IF(AA189="","",$A189+VLOOKUP(X189,Schichten!$A$5:$G$24,4,FALSE())+IF(VLOOKUP(X189,Schichten!$A$5:$G$24,4,FALSE())&lt;=VLOOKUP(X189,Schichten!$A$5:$G$24,3,FALSE()),1,0))</f>
        <v>46572.5833333333</v>
      </c>
      <c r="AC189" s="28" t="n">
        <f aca="false">IF($A189="","",IF(N(Y188)&gt;0,AB188,AC188))</f>
        <v>46571.5833333333</v>
      </c>
      <c r="AD189" s="27" t="n">
        <f aca="false">IF(OR(AA189="",AC189=""),"",(AA189-AC189)*24)</f>
        <v>16</v>
      </c>
      <c r="AE189" s="21" t="n">
        <f aca="false">IF($A189="","",IF(N(Y189)&gt;0,N(AE188)+1,0))</f>
        <v>2</v>
      </c>
      <c r="AF189" s="21" t="n">
        <f aca="false">IF($A189="","",IF(N(Z189)&gt;0,N(AF188)+1,0))</f>
        <v>0</v>
      </c>
      <c r="AG189" s="21" t="n">
        <f aca="false">IF($A189="","",IF(WEEKDAY($A189,2)&lt;&gt;7,"",IF(AND(OR(AA189="",N(AA189)&gt;=$A189+16/24,N(AB189)&lt;=$A189+6/24),OR(AC189="",N(AC189)&lt;=$A189+6/24)),1,0)))</f>
        <v>0</v>
      </c>
      <c r="AH189" s="26" t="str">
        <f aca="false">IF($A189="","",IF(INDEX(Muster!$C$9:$BF$9,1,MOD($A189-Einstellungen!$C$6,Einstellungen!$C$7)+1)="","-",INDEX(Muster!$C$9:$BF$9,1,MOD($A189-Einstellungen!$C$6,Einstellungen!$C$7)+1)))</f>
        <v>-</v>
      </c>
      <c r="AI189" s="27" t="n">
        <f aca="false">IF($A189="","",IFERROR(VLOOKUP(AH189,Schichten!$A$5:$G$24,6,FALSE()),0))</f>
        <v>0</v>
      </c>
      <c r="AJ189" s="27" t="n">
        <f aca="false">IF($A189="","",IFERROR(VLOOKUP(AH189,Schichten!$A$5:$G$24,7,FALSE()),0))</f>
        <v>0</v>
      </c>
      <c r="AK189" s="28" t="str">
        <f aca="false">IF($A189="","",IF(N(AI189)=0,"",$A189+VLOOKUP(AH189,Schichten!$A$5:$G$24,3,FALSE())))</f>
        <v/>
      </c>
      <c r="AL189" s="28" t="str">
        <f aca="false">IF(AK189="","",$A189+VLOOKUP(AH189,Schichten!$A$5:$G$24,4,FALSE())+IF(VLOOKUP(AH189,Schichten!$A$5:$G$24,4,FALSE())&lt;=VLOOKUP(AH189,Schichten!$A$5:$G$24,3,FALSE()),1,0))</f>
        <v/>
      </c>
      <c r="AM189" s="28" t="n">
        <f aca="false">IF($A189="","",IF(N(AI188)&gt;0,AL188,AM188))</f>
        <v>46571.25</v>
      </c>
      <c r="AN189" s="27" t="str">
        <f aca="false">IF(OR(AK189="",AM189=""),"",(AK189-AM189)*24)</f>
        <v/>
      </c>
      <c r="AO189" s="21" t="n">
        <f aca="false">IF($A189="","",IF(N(AI189)&gt;0,N(AO188)+1,0))</f>
        <v>0</v>
      </c>
      <c r="AP189" s="21" t="n">
        <f aca="false">IF($A189="","",IF(N(AJ189)&gt;0,N(AP188)+1,0))</f>
        <v>0</v>
      </c>
      <c r="AQ189" s="21" t="n">
        <f aca="false">IF($A189="","",IF(WEEKDAY($A189,2)&lt;&gt;7,"",IF(AND(OR(AK189="",N(AK189)&gt;=$A189+16/24,N(AL189)&lt;=$A189+6/24),OR(AM189="",N(AM189)&lt;=$A189+6/24)),1,0)))</f>
        <v>1</v>
      </c>
      <c r="AR189" s="26" t="str">
        <f aca="false">IF($A189="","",IF(INDEX(Muster!$C$10:$BF$10,1,MOD($A189-Einstellungen!$C$6,Einstellungen!$C$7)+1)="","-",INDEX(Muster!$C$10:$BF$10,1,MOD($A189-Einstellungen!$C$6,Einstellungen!$C$7)+1)))</f>
        <v>-</v>
      </c>
      <c r="AS189" s="27" t="n">
        <f aca="false">IF($A189="","",IFERROR(VLOOKUP(AR189,Schichten!$A$5:$G$24,6,FALSE()),0))</f>
        <v>0</v>
      </c>
      <c r="AT189" s="27" t="n">
        <f aca="false">IF($A189="","",IFERROR(VLOOKUP(AR189,Schichten!$A$5:$G$24,7,FALSE()),0))</f>
        <v>0</v>
      </c>
      <c r="AU189" s="28" t="str">
        <f aca="false">IF($A189="","",IF(N(AS189)=0,"",$A189+VLOOKUP(AR189,Schichten!$A$5:$G$24,3,FALSE())))</f>
        <v/>
      </c>
      <c r="AV189" s="28" t="str">
        <f aca="false">IF(AU189="","",$A189+VLOOKUP(AR189,Schichten!$A$5:$G$24,4,FALSE())+IF(VLOOKUP(AR189,Schichten!$A$5:$G$24,4,FALSE())&lt;=VLOOKUP(AR189,Schichten!$A$5:$G$24,3,FALSE()),1,0))</f>
        <v/>
      </c>
      <c r="AW189" s="28" t="str">
        <f aca="false">IF($A189="","",IF(N(AS188)&gt;0,AV188,AW188))</f>
        <v/>
      </c>
      <c r="AX189" s="27" t="str">
        <f aca="false">IF(OR(AU189="",AW189=""),"",(AU189-AW189)*24)</f>
        <v/>
      </c>
      <c r="AY189" s="21" t="n">
        <f aca="false">IF($A189="","",IF(N(AS189)&gt;0,N(AY188)+1,0))</f>
        <v>0</v>
      </c>
      <c r="AZ189" s="21" t="n">
        <f aca="false">IF($A189="","",IF(N(AT189)&gt;0,N(AZ188)+1,0))</f>
        <v>0</v>
      </c>
      <c r="BA189" s="21" t="n">
        <f aca="false">IF($A189="","",IF(WEEKDAY($A189,2)&lt;&gt;7,"",IF(AND(OR(AU189="",N(AU189)&gt;=$A189+16/24,N(AV189)&lt;=$A189+6/24),OR(AW189="",N(AW189)&lt;=$A189+6/24)),1,0)))</f>
        <v>1</v>
      </c>
    </row>
    <row r="190" customFormat="false" ht="15" hidden="false" customHeight="false" outlineLevel="0" collapsed="false">
      <c r="A190" s="25" t="n">
        <f aca="false">IF(YEAR(DATE(Einstellungen!$C$4,1,1)+185)=Einstellungen!$C$4,DATE(Einstellungen!$C$4,1,1)+185,"")</f>
        <v>46573</v>
      </c>
      <c r="B190" s="26" t="str">
        <f aca="false">IF($A190="","",CHOOSE(WEEKDAY($A190,2),"Mo","Di","Mi","Do","Fr","Sa","So"))</f>
        <v>Mo</v>
      </c>
      <c r="C190" s="26" t="n">
        <f aca="false">IF($A190="","",MONTH($A190))</f>
        <v>7</v>
      </c>
      <c r="D190" s="26" t="str">
        <f aca="false">IF($A190="","",IF(INDEX(Muster!$C$6:$BF$6,1,MOD($A190-Einstellungen!$C$6,Einstellungen!$C$7)+1)="","-",INDEX(Muster!$C$6:$BF$6,1,MOD($A190-Einstellungen!$C$6,Einstellungen!$C$7)+1)))</f>
        <v>-</v>
      </c>
      <c r="E190" s="27" t="n">
        <f aca="false">IF($A190="","",IFERROR(VLOOKUP(D190,Schichten!$A$5:$G$24,6,FALSE()),0))</f>
        <v>0</v>
      </c>
      <c r="F190" s="27" t="n">
        <f aca="false">IF($A190="","",IFERROR(VLOOKUP(D190,Schichten!$A$5:$G$24,7,FALSE()),0))</f>
        <v>0</v>
      </c>
      <c r="G190" s="28" t="str">
        <f aca="false">IF($A190="","",IF(N(E190)=0,"",$A190+VLOOKUP(D190,Schichten!$A$5:$G$24,3,FALSE())))</f>
        <v/>
      </c>
      <c r="H190" s="28" t="str">
        <f aca="false">IF(G190="","",$A190+VLOOKUP(D190,Schichten!$A$5:$G$24,4,FALSE())+IF(VLOOKUP(D190,Schichten!$A$5:$G$24,4,FALSE())&lt;=VLOOKUP(D190,Schichten!$A$5:$G$24,3,FALSE()),1,0))</f>
        <v/>
      </c>
      <c r="I190" s="28" t="n">
        <f aca="false">IF($A190="","",IF(N(E189)&gt;0,H189,I189))</f>
        <v>46573.25</v>
      </c>
      <c r="J190" s="27" t="str">
        <f aca="false">IF(OR(G190="",I190=""),"",(G190-I190)*24)</f>
        <v/>
      </c>
      <c r="K190" s="21" t="n">
        <f aca="false">IF($A190="","",IF(N(E190)&gt;0,N(K189)+1,0))</f>
        <v>0</v>
      </c>
      <c r="L190" s="21" t="n">
        <f aca="false">IF($A190="","",IF(N(F190)&gt;0,N(L189)+1,0))</f>
        <v>0</v>
      </c>
      <c r="M190" s="21" t="str">
        <f aca="false">IF($A190="","",IF(WEEKDAY($A190,2)&lt;&gt;7,"",IF(AND(OR(G190="",N(G190)&gt;=$A190+16/24,N(H190)&lt;=$A190+6/24),OR(I190="",N(I190)&lt;=$A190+6/24)),1,0)))</f>
        <v/>
      </c>
      <c r="N190" s="26" t="str">
        <f aca="false">IF($A190="","",IF(INDEX(Muster!$C$7:$BF$7,1,MOD($A190-Einstellungen!$C$6,Einstellungen!$C$7)+1)="","-",INDEX(Muster!$C$7:$BF$7,1,MOD($A190-Einstellungen!$C$6,Einstellungen!$C$7)+1)))</f>
        <v>N</v>
      </c>
      <c r="O190" s="27" t="n">
        <f aca="false">IF($A190="","",IFERROR(VLOOKUP(N190,Schichten!$A$5:$G$24,6,FALSE()),0))</f>
        <v>8</v>
      </c>
      <c r="P190" s="27" t="n">
        <f aca="false">IF($A190="","",IFERROR(VLOOKUP(N190,Schichten!$A$5:$G$24,7,FALSE()),0))</f>
        <v>7</v>
      </c>
      <c r="Q190" s="28" t="n">
        <f aca="false">IF($A190="","",IF(N(O190)=0,"",$A190+VLOOKUP(N190,Schichten!$A$5:$G$24,3,FALSE())))</f>
        <v>46573.9166666667</v>
      </c>
      <c r="R190" s="28" t="n">
        <f aca="false">IF(Q190="","",$A190+VLOOKUP(N190,Schichten!$A$5:$G$24,4,FALSE())+IF(VLOOKUP(N190,Schichten!$A$5:$G$24,4,FALSE())&lt;=VLOOKUP(N190,Schichten!$A$5:$G$24,3,FALSE()),1,0))</f>
        <v>46574.25</v>
      </c>
      <c r="S190" s="28" t="n">
        <f aca="false">IF($A190="","",IF(N(O189)&gt;0,R189,S189))</f>
        <v>46572.9166666667</v>
      </c>
      <c r="T190" s="27" t="n">
        <f aca="false">IF(OR(Q190="",S190=""),"",(Q190-S190)*24)</f>
        <v>24</v>
      </c>
      <c r="U190" s="21" t="n">
        <f aca="false">IF($A190="","",IF(N(O190)&gt;0,N(U189)+1,0))</f>
        <v>5</v>
      </c>
      <c r="V190" s="21" t="n">
        <f aca="false">IF($A190="","",IF(N(P190)&gt;0,N(V189)+1,0))</f>
        <v>1</v>
      </c>
      <c r="W190" s="21" t="str">
        <f aca="false">IF($A190="","",IF(WEEKDAY($A190,2)&lt;&gt;7,"",IF(AND(OR(Q190="",N(Q190)&gt;=$A190+16/24,N(R190)&lt;=$A190+6/24),OR(S190="",N(S190)&lt;=$A190+6/24)),1,0)))</f>
        <v/>
      </c>
      <c r="X190" s="26" t="str">
        <f aca="false">IF($A190="","",IF(INDEX(Muster!$C$8:$BF$8,1,MOD($A190-Einstellungen!$C$6,Einstellungen!$C$7)+1)="","-",INDEX(Muster!$C$8:$BF$8,1,MOD($A190-Einstellungen!$C$6,Einstellungen!$C$7)+1)))</f>
        <v>S</v>
      </c>
      <c r="Y190" s="27" t="n">
        <f aca="false">IF($A190="","",IFERROR(VLOOKUP(X190,Schichten!$A$5:$G$24,6,FALSE()),0))</f>
        <v>8</v>
      </c>
      <c r="Z190" s="27" t="n">
        <f aca="false">IF($A190="","",IFERROR(VLOOKUP(X190,Schichten!$A$5:$G$24,7,FALSE()),0))</f>
        <v>0</v>
      </c>
      <c r="AA190" s="28" t="n">
        <f aca="false">IF($A190="","",IF(N(Y190)=0,"",$A190+VLOOKUP(X190,Schichten!$A$5:$G$24,3,FALSE())))</f>
        <v>46573.5833333333</v>
      </c>
      <c r="AB190" s="28" t="n">
        <f aca="false">IF(AA190="","",$A190+VLOOKUP(X190,Schichten!$A$5:$G$24,4,FALSE())+IF(VLOOKUP(X190,Schichten!$A$5:$G$24,4,FALSE())&lt;=VLOOKUP(X190,Schichten!$A$5:$G$24,3,FALSE()),1,0))</f>
        <v>46573.9166666667</v>
      </c>
      <c r="AC190" s="28" t="n">
        <f aca="false">IF($A190="","",IF(N(Y189)&gt;0,AB189,AC189))</f>
        <v>46572.5833333333</v>
      </c>
      <c r="AD190" s="27" t="n">
        <f aca="false">IF(OR(AA190="",AC190=""),"",(AA190-AC190)*24)</f>
        <v>24</v>
      </c>
      <c r="AE190" s="21" t="n">
        <f aca="false">IF($A190="","",IF(N(Y190)&gt;0,N(AE189)+1,0))</f>
        <v>3</v>
      </c>
      <c r="AF190" s="21" t="n">
        <f aca="false">IF($A190="","",IF(N(Z190)&gt;0,N(AF189)+1,0))</f>
        <v>0</v>
      </c>
      <c r="AG190" s="21" t="str">
        <f aca="false">IF($A190="","",IF(WEEKDAY($A190,2)&lt;&gt;7,"",IF(AND(OR(AA190="",N(AA190)&gt;=$A190+16/24,N(AB190)&lt;=$A190+6/24),OR(AC190="",N(AC190)&lt;=$A190+6/24)),1,0)))</f>
        <v/>
      </c>
      <c r="AH190" s="26" t="str">
        <f aca="false">IF($A190="","",IF(INDEX(Muster!$C$9:$BF$9,1,MOD($A190-Einstellungen!$C$6,Einstellungen!$C$7)+1)="","-",INDEX(Muster!$C$9:$BF$9,1,MOD($A190-Einstellungen!$C$6,Einstellungen!$C$7)+1)))</f>
        <v>F</v>
      </c>
      <c r="AI190" s="27" t="n">
        <f aca="false">IF($A190="","",IFERROR(VLOOKUP(AH190,Schichten!$A$5:$G$24,6,FALSE()),0))</f>
        <v>8</v>
      </c>
      <c r="AJ190" s="27" t="n">
        <f aca="false">IF($A190="","",IFERROR(VLOOKUP(AH190,Schichten!$A$5:$G$24,7,FALSE()),0))</f>
        <v>0</v>
      </c>
      <c r="AK190" s="28" t="n">
        <f aca="false">IF($A190="","",IF(N(AI190)=0,"",$A190+VLOOKUP(AH190,Schichten!$A$5:$G$24,3,FALSE())))</f>
        <v>46573.25</v>
      </c>
      <c r="AL190" s="28" t="n">
        <f aca="false">IF(AK190="","",$A190+VLOOKUP(AH190,Schichten!$A$5:$G$24,4,FALSE())+IF(VLOOKUP(AH190,Schichten!$A$5:$G$24,4,FALSE())&lt;=VLOOKUP(AH190,Schichten!$A$5:$G$24,3,FALSE()),1,0))</f>
        <v>46573.5833333333</v>
      </c>
      <c r="AM190" s="28" t="n">
        <f aca="false">IF($A190="","",IF(N(AI189)&gt;0,AL189,AM189))</f>
        <v>46571.25</v>
      </c>
      <c r="AN190" s="27" t="n">
        <f aca="false">IF(OR(AK190="",AM190=""),"",(AK190-AM190)*24)</f>
        <v>48</v>
      </c>
      <c r="AO190" s="21" t="n">
        <f aca="false">IF($A190="","",IF(N(AI190)&gt;0,N(AO189)+1,0))</f>
        <v>1</v>
      </c>
      <c r="AP190" s="21" t="n">
        <f aca="false">IF($A190="","",IF(N(AJ190)&gt;0,N(AP189)+1,0))</f>
        <v>0</v>
      </c>
      <c r="AQ190" s="21" t="str">
        <f aca="false">IF($A190="","",IF(WEEKDAY($A190,2)&lt;&gt;7,"",IF(AND(OR(AK190="",N(AK190)&gt;=$A190+16/24,N(AL190)&lt;=$A190+6/24),OR(AM190="",N(AM190)&lt;=$A190+6/24)),1,0)))</f>
        <v/>
      </c>
      <c r="AR190" s="26" t="str">
        <f aca="false">IF($A190="","",IF(INDEX(Muster!$C$10:$BF$10,1,MOD($A190-Einstellungen!$C$6,Einstellungen!$C$7)+1)="","-",INDEX(Muster!$C$10:$BF$10,1,MOD($A190-Einstellungen!$C$6,Einstellungen!$C$7)+1)))</f>
        <v>-</v>
      </c>
      <c r="AS190" s="27" t="n">
        <f aca="false">IF($A190="","",IFERROR(VLOOKUP(AR190,Schichten!$A$5:$G$24,6,FALSE()),0))</f>
        <v>0</v>
      </c>
      <c r="AT190" s="27" t="n">
        <f aca="false">IF($A190="","",IFERROR(VLOOKUP(AR190,Schichten!$A$5:$G$24,7,FALSE()),0))</f>
        <v>0</v>
      </c>
      <c r="AU190" s="28" t="str">
        <f aca="false">IF($A190="","",IF(N(AS190)=0,"",$A190+VLOOKUP(AR190,Schichten!$A$5:$G$24,3,FALSE())))</f>
        <v/>
      </c>
      <c r="AV190" s="28" t="str">
        <f aca="false">IF(AU190="","",$A190+VLOOKUP(AR190,Schichten!$A$5:$G$24,4,FALSE())+IF(VLOOKUP(AR190,Schichten!$A$5:$G$24,4,FALSE())&lt;=VLOOKUP(AR190,Schichten!$A$5:$G$24,3,FALSE()),1,0))</f>
        <v/>
      </c>
      <c r="AW190" s="28" t="str">
        <f aca="false">IF($A190="","",IF(N(AS189)&gt;0,AV189,AW189))</f>
        <v/>
      </c>
      <c r="AX190" s="27" t="str">
        <f aca="false">IF(OR(AU190="",AW190=""),"",(AU190-AW190)*24)</f>
        <v/>
      </c>
      <c r="AY190" s="21" t="n">
        <f aca="false">IF($A190="","",IF(N(AS190)&gt;0,N(AY189)+1,0))</f>
        <v>0</v>
      </c>
      <c r="AZ190" s="21" t="n">
        <f aca="false">IF($A190="","",IF(N(AT190)&gt;0,N(AZ189)+1,0))</f>
        <v>0</v>
      </c>
      <c r="BA190" s="21" t="str">
        <f aca="false">IF($A190="","",IF(WEEKDAY($A190,2)&lt;&gt;7,"",IF(AND(OR(AU190="",N(AU190)&gt;=$A190+16/24,N(AV190)&lt;=$A190+6/24),OR(AW190="",N(AW190)&lt;=$A190+6/24)),1,0)))</f>
        <v/>
      </c>
    </row>
    <row r="191" customFormat="false" ht="15" hidden="false" customHeight="false" outlineLevel="0" collapsed="false">
      <c r="A191" s="25" t="n">
        <f aca="false">IF(YEAR(DATE(Einstellungen!$C$4,1,1)+186)=Einstellungen!$C$4,DATE(Einstellungen!$C$4,1,1)+186,"")</f>
        <v>46574</v>
      </c>
      <c r="B191" s="26" t="str">
        <f aca="false">IF($A191="","",CHOOSE(WEEKDAY($A191,2),"Mo","Di","Mi","Do","Fr","Sa","So"))</f>
        <v>Di</v>
      </c>
      <c r="C191" s="26" t="n">
        <f aca="false">IF($A191="","",MONTH($A191))</f>
        <v>7</v>
      </c>
      <c r="D191" s="26" t="str">
        <f aca="false">IF($A191="","",IF(INDEX(Muster!$C$6:$BF$6,1,MOD($A191-Einstellungen!$C$6,Einstellungen!$C$7)+1)="","-",INDEX(Muster!$C$6:$BF$6,1,MOD($A191-Einstellungen!$C$6,Einstellungen!$C$7)+1)))</f>
        <v>-</v>
      </c>
      <c r="E191" s="27" t="n">
        <f aca="false">IF($A191="","",IFERROR(VLOOKUP(D191,Schichten!$A$5:$G$24,6,FALSE()),0))</f>
        <v>0</v>
      </c>
      <c r="F191" s="27" t="n">
        <f aca="false">IF($A191="","",IFERROR(VLOOKUP(D191,Schichten!$A$5:$G$24,7,FALSE()),0))</f>
        <v>0</v>
      </c>
      <c r="G191" s="28" t="str">
        <f aca="false">IF($A191="","",IF(N(E191)=0,"",$A191+VLOOKUP(D191,Schichten!$A$5:$G$24,3,FALSE())))</f>
        <v/>
      </c>
      <c r="H191" s="28" t="str">
        <f aca="false">IF(G191="","",$A191+VLOOKUP(D191,Schichten!$A$5:$G$24,4,FALSE())+IF(VLOOKUP(D191,Schichten!$A$5:$G$24,4,FALSE())&lt;=VLOOKUP(D191,Schichten!$A$5:$G$24,3,FALSE()),1,0))</f>
        <v/>
      </c>
      <c r="I191" s="28" t="n">
        <f aca="false">IF($A191="","",IF(N(E190)&gt;0,H190,I190))</f>
        <v>46573.25</v>
      </c>
      <c r="J191" s="27" t="str">
        <f aca="false">IF(OR(G191="",I191=""),"",(G191-I191)*24)</f>
        <v/>
      </c>
      <c r="K191" s="21" t="n">
        <f aca="false">IF($A191="","",IF(N(E191)&gt;0,N(K190)+1,0))</f>
        <v>0</v>
      </c>
      <c r="L191" s="21" t="n">
        <f aca="false">IF($A191="","",IF(N(F191)&gt;0,N(L190)+1,0))</f>
        <v>0</v>
      </c>
      <c r="M191" s="21" t="str">
        <f aca="false">IF($A191="","",IF(WEEKDAY($A191,2)&lt;&gt;7,"",IF(AND(OR(G191="",N(G191)&gt;=$A191+16/24,N(H191)&lt;=$A191+6/24),OR(I191="",N(I191)&lt;=$A191+6/24)),1,0)))</f>
        <v/>
      </c>
      <c r="N191" s="26" t="str">
        <f aca="false">IF($A191="","",IF(INDEX(Muster!$C$7:$BF$7,1,MOD($A191-Einstellungen!$C$6,Einstellungen!$C$7)+1)="","-",INDEX(Muster!$C$7:$BF$7,1,MOD($A191-Einstellungen!$C$6,Einstellungen!$C$7)+1)))</f>
        <v>N</v>
      </c>
      <c r="O191" s="27" t="n">
        <f aca="false">IF($A191="","",IFERROR(VLOOKUP(N191,Schichten!$A$5:$G$24,6,FALSE()),0))</f>
        <v>8</v>
      </c>
      <c r="P191" s="27" t="n">
        <f aca="false">IF($A191="","",IFERROR(VLOOKUP(N191,Schichten!$A$5:$G$24,7,FALSE()),0))</f>
        <v>7</v>
      </c>
      <c r="Q191" s="28" t="n">
        <f aca="false">IF($A191="","",IF(N(O191)=0,"",$A191+VLOOKUP(N191,Schichten!$A$5:$G$24,3,FALSE())))</f>
        <v>46574.9166666667</v>
      </c>
      <c r="R191" s="28" t="n">
        <f aca="false">IF(Q191="","",$A191+VLOOKUP(N191,Schichten!$A$5:$G$24,4,FALSE())+IF(VLOOKUP(N191,Schichten!$A$5:$G$24,4,FALSE())&lt;=VLOOKUP(N191,Schichten!$A$5:$G$24,3,FALSE()),1,0))</f>
        <v>46575.25</v>
      </c>
      <c r="S191" s="28" t="n">
        <f aca="false">IF($A191="","",IF(N(O190)&gt;0,R190,S190))</f>
        <v>46574.25</v>
      </c>
      <c r="T191" s="27" t="n">
        <f aca="false">IF(OR(Q191="",S191=""),"",(Q191-S191)*24)</f>
        <v>16</v>
      </c>
      <c r="U191" s="21" t="n">
        <f aca="false">IF($A191="","",IF(N(O191)&gt;0,N(U190)+1,0))</f>
        <v>6</v>
      </c>
      <c r="V191" s="21" t="n">
        <f aca="false">IF($A191="","",IF(N(P191)&gt;0,N(V190)+1,0))</f>
        <v>2</v>
      </c>
      <c r="W191" s="21" t="str">
        <f aca="false">IF($A191="","",IF(WEEKDAY($A191,2)&lt;&gt;7,"",IF(AND(OR(Q191="",N(Q191)&gt;=$A191+16/24,N(R191)&lt;=$A191+6/24),OR(S191="",N(S191)&lt;=$A191+6/24)),1,0)))</f>
        <v/>
      </c>
      <c r="X191" s="26" t="str">
        <f aca="false">IF($A191="","",IF(INDEX(Muster!$C$8:$BF$8,1,MOD($A191-Einstellungen!$C$6,Einstellungen!$C$7)+1)="","-",INDEX(Muster!$C$8:$BF$8,1,MOD($A191-Einstellungen!$C$6,Einstellungen!$C$7)+1)))</f>
        <v>S</v>
      </c>
      <c r="Y191" s="27" t="n">
        <f aca="false">IF($A191="","",IFERROR(VLOOKUP(X191,Schichten!$A$5:$G$24,6,FALSE()),0))</f>
        <v>8</v>
      </c>
      <c r="Z191" s="27" t="n">
        <f aca="false">IF($A191="","",IFERROR(VLOOKUP(X191,Schichten!$A$5:$G$24,7,FALSE()),0))</f>
        <v>0</v>
      </c>
      <c r="AA191" s="28" t="n">
        <f aca="false">IF($A191="","",IF(N(Y191)=0,"",$A191+VLOOKUP(X191,Schichten!$A$5:$G$24,3,FALSE())))</f>
        <v>46574.5833333333</v>
      </c>
      <c r="AB191" s="28" t="n">
        <f aca="false">IF(AA191="","",$A191+VLOOKUP(X191,Schichten!$A$5:$G$24,4,FALSE())+IF(VLOOKUP(X191,Schichten!$A$5:$G$24,4,FALSE())&lt;=VLOOKUP(X191,Schichten!$A$5:$G$24,3,FALSE()),1,0))</f>
        <v>46574.9166666667</v>
      </c>
      <c r="AC191" s="28" t="n">
        <f aca="false">IF($A191="","",IF(N(Y190)&gt;0,AB190,AC190))</f>
        <v>46573.9166666667</v>
      </c>
      <c r="AD191" s="27" t="n">
        <f aca="false">IF(OR(AA191="",AC191=""),"",(AA191-AC191)*24)</f>
        <v>16</v>
      </c>
      <c r="AE191" s="21" t="n">
        <f aca="false">IF($A191="","",IF(N(Y191)&gt;0,N(AE190)+1,0))</f>
        <v>4</v>
      </c>
      <c r="AF191" s="21" t="n">
        <f aca="false">IF($A191="","",IF(N(Z191)&gt;0,N(AF190)+1,0))</f>
        <v>0</v>
      </c>
      <c r="AG191" s="21" t="str">
        <f aca="false">IF($A191="","",IF(WEEKDAY($A191,2)&lt;&gt;7,"",IF(AND(OR(AA191="",N(AA191)&gt;=$A191+16/24,N(AB191)&lt;=$A191+6/24),OR(AC191="",N(AC191)&lt;=$A191+6/24)),1,0)))</f>
        <v/>
      </c>
      <c r="AH191" s="26" t="str">
        <f aca="false">IF($A191="","",IF(INDEX(Muster!$C$9:$BF$9,1,MOD($A191-Einstellungen!$C$6,Einstellungen!$C$7)+1)="","-",INDEX(Muster!$C$9:$BF$9,1,MOD($A191-Einstellungen!$C$6,Einstellungen!$C$7)+1)))</f>
        <v>F</v>
      </c>
      <c r="AI191" s="27" t="n">
        <f aca="false">IF($A191="","",IFERROR(VLOOKUP(AH191,Schichten!$A$5:$G$24,6,FALSE()),0))</f>
        <v>8</v>
      </c>
      <c r="AJ191" s="27" t="n">
        <f aca="false">IF($A191="","",IFERROR(VLOOKUP(AH191,Schichten!$A$5:$G$24,7,FALSE()),0))</f>
        <v>0</v>
      </c>
      <c r="AK191" s="28" t="n">
        <f aca="false">IF($A191="","",IF(N(AI191)=0,"",$A191+VLOOKUP(AH191,Schichten!$A$5:$G$24,3,FALSE())))</f>
        <v>46574.25</v>
      </c>
      <c r="AL191" s="28" t="n">
        <f aca="false">IF(AK191="","",$A191+VLOOKUP(AH191,Schichten!$A$5:$G$24,4,FALSE())+IF(VLOOKUP(AH191,Schichten!$A$5:$G$24,4,FALSE())&lt;=VLOOKUP(AH191,Schichten!$A$5:$G$24,3,FALSE()),1,0))</f>
        <v>46574.5833333333</v>
      </c>
      <c r="AM191" s="28" t="n">
        <f aca="false">IF($A191="","",IF(N(AI190)&gt;0,AL190,AM190))</f>
        <v>46573.5833333333</v>
      </c>
      <c r="AN191" s="27" t="n">
        <f aca="false">IF(OR(AK191="",AM191=""),"",(AK191-AM191)*24)</f>
        <v>16</v>
      </c>
      <c r="AO191" s="21" t="n">
        <f aca="false">IF($A191="","",IF(N(AI191)&gt;0,N(AO190)+1,0))</f>
        <v>2</v>
      </c>
      <c r="AP191" s="21" t="n">
        <f aca="false">IF($A191="","",IF(N(AJ191)&gt;0,N(AP190)+1,0))</f>
        <v>0</v>
      </c>
      <c r="AQ191" s="21" t="str">
        <f aca="false">IF($A191="","",IF(WEEKDAY($A191,2)&lt;&gt;7,"",IF(AND(OR(AK191="",N(AK191)&gt;=$A191+16/24,N(AL191)&lt;=$A191+6/24),OR(AM191="",N(AM191)&lt;=$A191+6/24)),1,0)))</f>
        <v/>
      </c>
      <c r="AR191" s="26" t="str">
        <f aca="false">IF($A191="","",IF(INDEX(Muster!$C$10:$BF$10,1,MOD($A191-Einstellungen!$C$6,Einstellungen!$C$7)+1)="","-",INDEX(Muster!$C$10:$BF$10,1,MOD($A191-Einstellungen!$C$6,Einstellungen!$C$7)+1)))</f>
        <v>-</v>
      </c>
      <c r="AS191" s="27" t="n">
        <f aca="false">IF($A191="","",IFERROR(VLOOKUP(AR191,Schichten!$A$5:$G$24,6,FALSE()),0))</f>
        <v>0</v>
      </c>
      <c r="AT191" s="27" t="n">
        <f aca="false">IF($A191="","",IFERROR(VLOOKUP(AR191,Schichten!$A$5:$G$24,7,FALSE()),0))</f>
        <v>0</v>
      </c>
      <c r="AU191" s="28" t="str">
        <f aca="false">IF($A191="","",IF(N(AS191)=0,"",$A191+VLOOKUP(AR191,Schichten!$A$5:$G$24,3,FALSE())))</f>
        <v/>
      </c>
      <c r="AV191" s="28" t="str">
        <f aca="false">IF(AU191="","",$A191+VLOOKUP(AR191,Schichten!$A$5:$G$24,4,FALSE())+IF(VLOOKUP(AR191,Schichten!$A$5:$G$24,4,FALSE())&lt;=VLOOKUP(AR191,Schichten!$A$5:$G$24,3,FALSE()),1,0))</f>
        <v/>
      </c>
      <c r="AW191" s="28" t="str">
        <f aca="false">IF($A191="","",IF(N(AS190)&gt;0,AV190,AW190))</f>
        <v/>
      </c>
      <c r="AX191" s="27" t="str">
        <f aca="false">IF(OR(AU191="",AW191=""),"",(AU191-AW191)*24)</f>
        <v/>
      </c>
      <c r="AY191" s="21" t="n">
        <f aca="false">IF($A191="","",IF(N(AS191)&gt;0,N(AY190)+1,0))</f>
        <v>0</v>
      </c>
      <c r="AZ191" s="21" t="n">
        <f aca="false">IF($A191="","",IF(N(AT191)&gt;0,N(AZ190)+1,0))</f>
        <v>0</v>
      </c>
      <c r="BA191" s="21" t="str">
        <f aca="false">IF($A191="","",IF(WEEKDAY($A191,2)&lt;&gt;7,"",IF(AND(OR(AU191="",N(AU191)&gt;=$A191+16/24,N(AV191)&lt;=$A191+6/24),OR(AW191="",N(AW191)&lt;=$A191+6/24)),1,0)))</f>
        <v/>
      </c>
    </row>
    <row r="192" customFormat="false" ht="15" hidden="false" customHeight="false" outlineLevel="0" collapsed="false">
      <c r="A192" s="25" t="n">
        <f aca="false">IF(YEAR(DATE(Einstellungen!$C$4,1,1)+187)=Einstellungen!$C$4,DATE(Einstellungen!$C$4,1,1)+187,"")</f>
        <v>46575</v>
      </c>
      <c r="B192" s="26" t="str">
        <f aca="false">IF($A192="","",CHOOSE(WEEKDAY($A192,2),"Mo","Di","Mi","Do","Fr","Sa","So"))</f>
        <v>Mi</v>
      </c>
      <c r="C192" s="26" t="n">
        <f aca="false">IF($A192="","",MONTH($A192))</f>
        <v>7</v>
      </c>
      <c r="D192" s="26" t="str">
        <f aca="false">IF($A192="","",IF(INDEX(Muster!$C$6:$BF$6,1,MOD($A192-Einstellungen!$C$6,Einstellungen!$C$7)+1)="","-",INDEX(Muster!$C$6:$BF$6,1,MOD($A192-Einstellungen!$C$6,Einstellungen!$C$7)+1)))</f>
        <v>F</v>
      </c>
      <c r="E192" s="27" t="n">
        <f aca="false">IF($A192="","",IFERROR(VLOOKUP(D192,Schichten!$A$5:$G$24,6,FALSE()),0))</f>
        <v>8</v>
      </c>
      <c r="F192" s="27" t="n">
        <f aca="false">IF($A192="","",IFERROR(VLOOKUP(D192,Schichten!$A$5:$G$24,7,FALSE()),0))</f>
        <v>0</v>
      </c>
      <c r="G192" s="28" t="n">
        <f aca="false">IF($A192="","",IF(N(E192)=0,"",$A192+VLOOKUP(D192,Schichten!$A$5:$G$24,3,FALSE())))</f>
        <v>46575.25</v>
      </c>
      <c r="H192" s="28" t="n">
        <f aca="false">IF(G192="","",$A192+VLOOKUP(D192,Schichten!$A$5:$G$24,4,FALSE())+IF(VLOOKUP(D192,Schichten!$A$5:$G$24,4,FALSE())&lt;=VLOOKUP(D192,Schichten!$A$5:$G$24,3,FALSE()),1,0))</f>
        <v>46575.5833333333</v>
      </c>
      <c r="I192" s="28" t="n">
        <f aca="false">IF($A192="","",IF(N(E191)&gt;0,H191,I191))</f>
        <v>46573.25</v>
      </c>
      <c r="J192" s="27" t="n">
        <f aca="false">IF(OR(G192="",I192=""),"",(G192-I192)*24)</f>
        <v>48</v>
      </c>
      <c r="K192" s="21" t="n">
        <f aca="false">IF($A192="","",IF(N(E192)&gt;0,N(K191)+1,0))</f>
        <v>1</v>
      </c>
      <c r="L192" s="21" t="n">
        <f aca="false">IF($A192="","",IF(N(F192)&gt;0,N(L191)+1,0))</f>
        <v>0</v>
      </c>
      <c r="M192" s="21" t="str">
        <f aca="false">IF($A192="","",IF(WEEKDAY($A192,2)&lt;&gt;7,"",IF(AND(OR(G192="",N(G192)&gt;=$A192+16/24,N(H192)&lt;=$A192+6/24),OR(I192="",N(I192)&lt;=$A192+6/24)),1,0)))</f>
        <v/>
      </c>
      <c r="N192" s="26" t="str">
        <f aca="false">IF($A192="","",IF(INDEX(Muster!$C$7:$BF$7,1,MOD($A192-Einstellungen!$C$6,Einstellungen!$C$7)+1)="","-",INDEX(Muster!$C$7:$BF$7,1,MOD($A192-Einstellungen!$C$6,Einstellungen!$C$7)+1)))</f>
        <v>-</v>
      </c>
      <c r="O192" s="27" t="n">
        <f aca="false">IF($A192="","",IFERROR(VLOOKUP(N192,Schichten!$A$5:$G$24,6,FALSE()),0))</f>
        <v>0</v>
      </c>
      <c r="P192" s="27" t="n">
        <f aca="false">IF($A192="","",IFERROR(VLOOKUP(N192,Schichten!$A$5:$G$24,7,FALSE()),0))</f>
        <v>0</v>
      </c>
      <c r="Q192" s="28" t="str">
        <f aca="false">IF($A192="","",IF(N(O192)=0,"",$A192+VLOOKUP(N192,Schichten!$A$5:$G$24,3,FALSE())))</f>
        <v/>
      </c>
      <c r="R192" s="28" t="str">
        <f aca="false">IF(Q192="","",$A192+VLOOKUP(N192,Schichten!$A$5:$G$24,4,FALSE())+IF(VLOOKUP(N192,Schichten!$A$5:$G$24,4,FALSE())&lt;=VLOOKUP(N192,Schichten!$A$5:$G$24,3,FALSE()),1,0))</f>
        <v/>
      </c>
      <c r="S192" s="28" t="n">
        <f aca="false">IF($A192="","",IF(N(O191)&gt;0,R191,S191))</f>
        <v>46575.25</v>
      </c>
      <c r="T192" s="27" t="str">
        <f aca="false">IF(OR(Q192="",S192=""),"",(Q192-S192)*24)</f>
        <v/>
      </c>
      <c r="U192" s="21" t="n">
        <f aca="false">IF($A192="","",IF(N(O192)&gt;0,N(U191)+1,0))</f>
        <v>0</v>
      </c>
      <c r="V192" s="21" t="n">
        <f aca="false">IF($A192="","",IF(N(P192)&gt;0,N(V191)+1,0))</f>
        <v>0</v>
      </c>
      <c r="W192" s="21" t="str">
        <f aca="false">IF($A192="","",IF(WEEKDAY($A192,2)&lt;&gt;7,"",IF(AND(OR(Q192="",N(Q192)&gt;=$A192+16/24,N(R192)&lt;=$A192+6/24),OR(S192="",N(S192)&lt;=$A192+6/24)),1,0)))</f>
        <v/>
      </c>
      <c r="X192" s="26" t="str">
        <f aca="false">IF($A192="","",IF(INDEX(Muster!$C$8:$BF$8,1,MOD($A192-Einstellungen!$C$6,Einstellungen!$C$7)+1)="","-",INDEX(Muster!$C$8:$BF$8,1,MOD($A192-Einstellungen!$C$6,Einstellungen!$C$7)+1)))</f>
        <v>N</v>
      </c>
      <c r="Y192" s="27" t="n">
        <f aca="false">IF($A192="","",IFERROR(VLOOKUP(X192,Schichten!$A$5:$G$24,6,FALSE()),0))</f>
        <v>8</v>
      </c>
      <c r="Z192" s="27" t="n">
        <f aca="false">IF($A192="","",IFERROR(VLOOKUP(X192,Schichten!$A$5:$G$24,7,FALSE()),0))</f>
        <v>7</v>
      </c>
      <c r="AA192" s="28" t="n">
        <f aca="false">IF($A192="","",IF(N(Y192)=0,"",$A192+VLOOKUP(X192,Schichten!$A$5:$G$24,3,FALSE())))</f>
        <v>46575.9166666667</v>
      </c>
      <c r="AB192" s="28" t="n">
        <f aca="false">IF(AA192="","",$A192+VLOOKUP(X192,Schichten!$A$5:$G$24,4,FALSE())+IF(VLOOKUP(X192,Schichten!$A$5:$G$24,4,FALSE())&lt;=VLOOKUP(X192,Schichten!$A$5:$G$24,3,FALSE()),1,0))</f>
        <v>46576.25</v>
      </c>
      <c r="AC192" s="28" t="n">
        <f aca="false">IF($A192="","",IF(N(Y191)&gt;0,AB191,AC191))</f>
        <v>46574.9166666667</v>
      </c>
      <c r="AD192" s="27" t="n">
        <f aca="false">IF(OR(AA192="",AC192=""),"",(AA192-AC192)*24)</f>
        <v>24</v>
      </c>
      <c r="AE192" s="21" t="n">
        <f aca="false">IF($A192="","",IF(N(Y192)&gt;0,N(AE191)+1,0))</f>
        <v>5</v>
      </c>
      <c r="AF192" s="21" t="n">
        <f aca="false">IF($A192="","",IF(N(Z192)&gt;0,N(AF191)+1,0))</f>
        <v>1</v>
      </c>
      <c r="AG192" s="21" t="str">
        <f aca="false">IF($A192="","",IF(WEEKDAY($A192,2)&lt;&gt;7,"",IF(AND(OR(AA192="",N(AA192)&gt;=$A192+16/24,N(AB192)&lt;=$A192+6/24),OR(AC192="",N(AC192)&lt;=$A192+6/24)),1,0)))</f>
        <v/>
      </c>
      <c r="AH192" s="26" t="str">
        <f aca="false">IF($A192="","",IF(INDEX(Muster!$C$9:$BF$9,1,MOD($A192-Einstellungen!$C$6,Einstellungen!$C$7)+1)="","-",INDEX(Muster!$C$9:$BF$9,1,MOD($A192-Einstellungen!$C$6,Einstellungen!$C$7)+1)))</f>
        <v>S</v>
      </c>
      <c r="AI192" s="27" t="n">
        <f aca="false">IF($A192="","",IFERROR(VLOOKUP(AH192,Schichten!$A$5:$G$24,6,FALSE()),0))</f>
        <v>8</v>
      </c>
      <c r="AJ192" s="27" t="n">
        <f aca="false">IF($A192="","",IFERROR(VLOOKUP(AH192,Schichten!$A$5:$G$24,7,FALSE()),0))</f>
        <v>0</v>
      </c>
      <c r="AK192" s="28" t="n">
        <f aca="false">IF($A192="","",IF(N(AI192)=0,"",$A192+VLOOKUP(AH192,Schichten!$A$5:$G$24,3,FALSE())))</f>
        <v>46575.5833333333</v>
      </c>
      <c r="AL192" s="28" t="n">
        <f aca="false">IF(AK192="","",$A192+VLOOKUP(AH192,Schichten!$A$5:$G$24,4,FALSE())+IF(VLOOKUP(AH192,Schichten!$A$5:$G$24,4,FALSE())&lt;=VLOOKUP(AH192,Schichten!$A$5:$G$24,3,FALSE()),1,0))</f>
        <v>46575.9166666667</v>
      </c>
      <c r="AM192" s="28" t="n">
        <f aca="false">IF($A192="","",IF(N(AI191)&gt;0,AL191,AM191))</f>
        <v>46574.5833333333</v>
      </c>
      <c r="AN192" s="27" t="n">
        <f aca="false">IF(OR(AK192="",AM192=""),"",(AK192-AM192)*24)</f>
        <v>24</v>
      </c>
      <c r="AO192" s="21" t="n">
        <f aca="false">IF($A192="","",IF(N(AI192)&gt;0,N(AO191)+1,0))</f>
        <v>3</v>
      </c>
      <c r="AP192" s="21" t="n">
        <f aca="false">IF($A192="","",IF(N(AJ192)&gt;0,N(AP191)+1,0))</f>
        <v>0</v>
      </c>
      <c r="AQ192" s="21" t="str">
        <f aca="false">IF($A192="","",IF(WEEKDAY($A192,2)&lt;&gt;7,"",IF(AND(OR(AK192="",N(AK192)&gt;=$A192+16/24,N(AL192)&lt;=$A192+6/24),OR(AM192="",N(AM192)&lt;=$A192+6/24)),1,0)))</f>
        <v/>
      </c>
      <c r="AR192" s="26" t="str">
        <f aca="false">IF($A192="","",IF(INDEX(Muster!$C$10:$BF$10,1,MOD($A192-Einstellungen!$C$6,Einstellungen!$C$7)+1)="","-",INDEX(Muster!$C$10:$BF$10,1,MOD($A192-Einstellungen!$C$6,Einstellungen!$C$7)+1)))</f>
        <v>-</v>
      </c>
      <c r="AS192" s="27" t="n">
        <f aca="false">IF($A192="","",IFERROR(VLOOKUP(AR192,Schichten!$A$5:$G$24,6,FALSE()),0))</f>
        <v>0</v>
      </c>
      <c r="AT192" s="27" t="n">
        <f aca="false">IF($A192="","",IFERROR(VLOOKUP(AR192,Schichten!$A$5:$G$24,7,FALSE()),0))</f>
        <v>0</v>
      </c>
      <c r="AU192" s="28" t="str">
        <f aca="false">IF($A192="","",IF(N(AS192)=0,"",$A192+VLOOKUP(AR192,Schichten!$A$5:$G$24,3,FALSE())))</f>
        <v/>
      </c>
      <c r="AV192" s="28" t="str">
        <f aca="false">IF(AU192="","",$A192+VLOOKUP(AR192,Schichten!$A$5:$G$24,4,FALSE())+IF(VLOOKUP(AR192,Schichten!$A$5:$G$24,4,FALSE())&lt;=VLOOKUP(AR192,Schichten!$A$5:$G$24,3,FALSE()),1,0))</f>
        <v/>
      </c>
      <c r="AW192" s="28" t="str">
        <f aca="false">IF($A192="","",IF(N(AS191)&gt;0,AV191,AW191))</f>
        <v/>
      </c>
      <c r="AX192" s="27" t="str">
        <f aca="false">IF(OR(AU192="",AW192=""),"",(AU192-AW192)*24)</f>
        <v/>
      </c>
      <c r="AY192" s="21" t="n">
        <f aca="false">IF($A192="","",IF(N(AS192)&gt;0,N(AY191)+1,0))</f>
        <v>0</v>
      </c>
      <c r="AZ192" s="21" t="n">
        <f aca="false">IF($A192="","",IF(N(AT192)&gt;0,N(AZ191)+1,0))</f>
        <v>0</v>
      </c>
      <c r="BA192" s="21" t="str">
        <f aca="false">IF($A192="","",IF(WEEKDAY($A192,2)&lt;&gt;7,"",IF(AND(OR(AU192="",N(AU192)&gt;=$A192+16/24,N(AV192)&lt;=$A192+6/24),OR(AW192="",N(AW192)&lt;=$A192+6/24)),1,0)))</f>
        <v/>
      </c>
    </row>
    <row r="193" customFormat="false" ht="15" hidden="false" customHeight="false" outlineLevel="0" collapsed="false">
      <c r="A193" s="25" t="n">
        <f aca="false">IF(YEAR(DATE(Einstellungen!$C$4,1,1)+188)=Einstellungen!$C$4,DATE(Einstellungen!$C$4,1,1)+188,"")</f>
        <v>46576</v>
      </c>
      <c r="B193" s="26" t="str">
        <f aca="false">IF($A193="","",CHOOSE(WEEKDAY($A193,2),"Mo","Di","Mi","Do","Fr","Sa","So"))</f>
        <v>Do</v>
      </c>
      <c r="C193" s="26" t="n">
        <f aca="false">IF($A193="","",MONTH($A193))</f>
        <v>7</v>
      </c>
      <c r="D193" s="26" t="str">
        <f aca="false">IF($A193="","",IF(INDEX(Muster!$C$6:$BF$6,1,MOD($A193-Einstellungen!$C$6,Einstellungen!$C$7)+1)="","-",INDEX(Muster!$C$6:$BF$6,1,MOD($A193-Einstellungen!$C$6,Einstellungen!$C$7)+1)))</f>
        <v>F</v>
      </c>
      <c r="E193" s="27" t="n">
        <f aca="false">IF($A193="","",IFERROR(VLOOKUP(D193,Schichten!$A$5:$G$24,6,FALSE()),0))</f>
        <v>8</v>
      </c>
      <c r="F193" s="27" t="n">
        <f aca="false">IF($A193="","",IFERROR(VLOOKUP(D193,Schichten!$A$5:$G$24,7,FALSE()),0))</f>
        <v>0</v>
      </c>
      <c r="G193" s="28" t="n">
        <f aca="false">IF($A193="","",IF(N(E193)=0,"",$A193+VLOOKUP(D193,Schichten!$A$5:$G$24,3,FALSE())))</f>
        <v>46576.25</v>
      </c>
      <c r="H193" s="28" t="n">
        <f aca="false">IF(G193="","",$A193+VLOOKUP(D193,Schichten!$A$5:$G$24,4,FALSE())+IF(VLOOKUP(D193,Schichten!$A$5:$G$24,4,FALSE())&lt;=VLOOKUP(D193,Schichten!$A$5:$G$24,3,FALSE()),1,0))</f>
        <v>46576.5833333333</v>
      </c>
      <c r="I193" s="28" t="n">
        <f aca="false">IF($A193="","",IF(N(E192)&gt;0,H192,I192))</f>
        <v>46575.5833333333</v>
      </c>
      <c r="J193" s="27" t="n">
        <f aca="false">IF(OR(G193="",I193=""),"",(G193-I193)*24)</f>
        <v>16</v>
      </c>
      <c r="K193" s="21" t="n">
        <f aca="false">IF($A193="","",IF(N(E193)&gt;0,N(K192)+1,0))</f>
        <v>2</v>
      </c>
      <c r="L193" s="21" t="n">
        <f aca="false">IF($A193="","",IF(N(F193)&gt;0,N(L192)+1,0))</f>
        <v>0</v>
      </c>
      <c r="M193" s="21" t="str">
        <f aca="false">IF($A193="","",IF(WEEKDAY($A193,2)&lt;&gt;7,"",IF(AND(OR(G193="",N(G193)&gt;=$A193+16/24,N(H193)&lt;=$A193+6/24),OR(I193="",N(I193)&lt;=$A193+6/24)),1,0)))</f>
        <v/>
      </c>
      <c r="N193" s="26" t="str">
        <f aca="false">IF($A193="","",IF(INDEX(Muster!$C$7:$BF$7,1,MOD($A193-Einstellungen!$C$6,Einstellungen!$C$7)+1)="","-",INDEX(Muster!$C$7:$BF$7,1,MOD($A193-Einstellungen!$C$6,Einstellungen!$C$7)+1)))</f>
        <v>-</v>
      </c>
      <c r="O193" s="27" t="n">
        <f aca="false">IF($A193="","",IFERROR(VLOOKUP(N193,Schichten!$A$5:$G$24,6,FALSE()),0))</f>
        <v>0</v>
      </c>
      <c r="P193" s="27" t="n">
        <f aca="false">IF($A193="","",IFERROR(VLOOKUP(N193,Schichten!$A$5:$G$24,7,FALSE()),0))</f>
        <v>0</v>
      </c>
      <c r="Q193" s="28" t="str">
        <f aca="false">IF($A193="","",IF(N(O193)=0,"",$A193+VLOOKUP(N193,Schichten!$A$5:$G$24,3,FALSE())))</f>
        <v/>
      </c>
      <c r="R193" s="28" t="str">
        <f aca="false">IF(Q193="","",$A193+VLOOKUP(N193,Schichten!$A$5:$G$24,4,FALSE())+IF(VLOOKUP(N193,Schichten!$A$5:$G$24,4,FALSE())&lt;=VLOOKUP(N193,Schichten!$A$5:$G$24,3,FALSE()),1,0))</f>
        <v/>
      </c>
      <c r="S193" s="28" t="n">
        <f aca="false">IF($A193="","",IF(N(O192)&gt;0,R192,S192))</f>
        <v>46575.25</v>
      </c>
      <c r="T193" s="27" t="str">
        <f aca="false">IF(OR(Q193="",S193=""),"",(Q193-S193)*24)</f>
        <v/>
      </c>
      <c r="U193" s="21" t="n">
        <f aca="false">IF($A193="","",IF(N(O193)&gt;0,N(U192)+1,0))</f>
        <v>0</v>
      </c>
      <c r="V193" s="21" t="n">
        <f aca="false">IF($A193="","",IF(N(P193)&gt;0,N(V192)+1,0))</f>
        <v>0</v>
      </c>
      <c r="W193" s="21" t="str">
        <f aca="false">IF($A193="","",IF(WEEKDAY($A193,2)&lt;&gt;7,"",IF(AND(OR(Q193="",N(Q193)&gt;=$A193+16/24,N(R193)&lt;=$A193+6/24),OR(S193="",N(S193)&lt;=$A193+6/24)),1,0)))</f>
        <v/>
      </c>
      <c r="X193" s="26" t="str">
        <f aca="false">IF($A193="","",IF(INDEX(Muster!$C$8:$BF$8,1,MOD($A193-Einstellungen!$C$6,Einstellungen!$C$7)+1)="","-",INDEX(Muster!$C$8:$BF$8,1,MOD($A193-Einstellungen!$C$6,Einstellungen!$C$7)+1)))</f>
        <v>N</v>
      </c>
      <c r="Y193" s="27" t="n">
        <f aca="false">IF($A193="","",IFERROR(VLOOKUP(X193,Schichten!$A$5:$G$24,6,FALSE()),0))</f>
        <v>8</v>
      </c>
      <c r="Z193" s="27" t="n">
        <f aca="false">IF($A193="","",IFERROR(VLOOKUP(X193,Schichten!$A$5:$G$24,7,FALSE()),0))</f>
        <v>7</v>
      </c>
      <c r="AA193" s="28" t="n">
        <f aca="false">IF($A193="","",IF(N(Y193)=0,"",$A193+VLOOKUP(X193,Schichten!$A$5:$G$24,3,FALSE())))</f>
        <v>46576.9166666667</v>
      </c>
      <c r="AB193" s="28" t="n">
        <f aca="false">IF(AA193="","",$A193+VLOOKUP(X193,Schichten!$A$5:$G$24,4,FALSE())+IF(VLOOKUP(X193,Schichten!$A$5:$G$24,4,FALSE())&lt;=VLOOKUP(X193,Schichten!$A$5:$G$24,3,FALSE()),1,0))</f>
        <v>46577.25</v>
      </c>
      <c r="AC193" s="28" t="n">
        <f aca="false">IF($A193="","",IF(N(Y192)&gt;0,AB192,AC192))</f>
        <v>46576.25</v>
      </c>
      <c r="AD193" s="27" t="n">
        <f aca="false">IF(OR(AA193="",AC193=""),"",(AA193-AC193)*24)</f>
        <v>16</v>
      </c>
      <c r="AE193" s="21" t="n">
        <f aca="false">IF($A193="","",IF(N(Y193)&gt;0,N(AE192)+1,0))</f>
        <v>6</v>
      </c>
      <c r="AF193" s="21" t="n">
        <f aca="false">IF($A193="","",IF(N(Z193)&gt;0,N(AF192)+1,0))</f>
        <v>2</v>
      </c>
      <c r="AG193" s="21" t="str">
        <f aca="false">IF($A193="","",IF(WEEKDAY($A193,2)&lt;&gt;7,"",IF(AND(OR(AA193="",N(AA193)&gt;=$A193+16/24,N(AB193)&lt;=$A193+6/24),OR(AC193="",N(AC193)&lt;=$A193+6/24)),1,0)))</f>
        <v/>
      </c>
      <c r="AH193" s="26" t="str">
        <f aca="false">IF($A193="","",IF(INDEX(Muster!$C$9:$BF$9,1,MOD($A193-Einstellungen!$C$6,Einstellungen!$C$7)+1)="","-",INDEX(Muster!$C$9:$BF$9,1,MOD($A193-Einstellungen!$C$6,Einstellungen!$C$7)+1)))</f>
        <v>S</v>
      </c>
      <c r="AI193" s="27" t="n">
        <f aca="false">IF($A193="","",IFERROR(VLOOKUP(AH193,Schichten!$A$5:$G$24,6,FALSE()),0))</f>
        <v>8</v>
      </c>
      <c r="AJ193" s="27" t="n">
        <f aca="false">IF($A193="","",IFERROR(VLOOKUP(AH193,Schichten!$A$5:$G$24,7,FALSE()),0))</f>
        <v>0</v>
      </c>
      <c r="AK193" s="28" t="n">
        <f aca="false">IF($A193="","",IF(N(AI193)=0,"",$A193+VLOOKUP(AH193,Schichten!$A$5:$G$24,3,FALSE())))</f>
        <v>46576.5833333333</v>
      </c>
      <c r="AL193" s="28" t="n">
        <f aca="false">IF(AK193="","",$A193+VLOOKUP(AH193,Schichten!$A$5:$G$24,4,FALSE())+IF(VLOOKUP(AH193,Schichten!$A$5:$G$24,4,FALSE())&lt;=VLOOKUP(AH193,Schichten!$A$5:$G$24,3,FALSE()),1,0))</f>
        <v>46576.9166666667</v>
      </c>
      <c r="AM193" s="28" t="n">
        <f aca="false">IF($A193="","",IF(N(AI192)&gt;0,AL192,AM192))</f>
        <v>46575.9166666667</v>
      </c>
      <c r="AN193" s="27" t="n">
        <f aca="false">IF(OR(AK193="",AM193=""),"",(AK193-AM193)*24)</f>
        <v>16</v>
      </c>
      <c r="AO193" s="21" t="n">
        <f aca="false">IF($A193="","",IF(N(AI193)&gt;0,N(AO192)+1,0))</f>
        <v>4</v>
      </c>
      <c r="AP193" s="21" t="n">
        <f aca="false">IF($A193="","",IF(N(AJ193)&gt;0,N(AP192)+1,0))</f>
        <v>0</v>
      </c>
      <c r="AQ193" s="21" t="str">
        <f aca="false">IF($A193="","",IF(WEEKDAY($A193,2)&lt;&gt;7,"",IF(AND(OR(AK193="",N(AK193)&gt;=$A193+16/24,N(AL193)&lt;=$A193+6/24),OR(AM193="",N(AM193)&lt;=$A193+6/24)),1,0)))</f>
        <v/>
      </c>
      <c r="AR193" s="26" t="str">
        <f aca="false">IF($A193="","",IF(INDEX(Muster!$C$10:$BF$10,1,MOD($A193-Einstellungen!$C$6,Einstellungen!$C$7)+1)="","-",INDEX(Muster!$C$10:$BF$10,1,MOD($A193-Einstellungen!$C$6,Einstellungen!$C$7)+1)))</f>
        <v>-</v>
      </c>
      <c r="AS193" s="27" t="n">
        <f aca="false">IF($A193="","",IFERROR(VLOOKUP(AR193,Schichten!$A$5:$G$24,6,FALSE()),0))</f>
        <v>0</v>
      </c>
      <c r="AT193" s="27" t="n">
        <f aca="false">IF($A193="","",IFERROR(VLOOKUP(AR193,Schichten!$A$5:$G$24,7,FALSE()),0))</f>
        <v>0</v>
      </c>
      <c r="AU193" s="28" t="str">
        <f aca="false">IF($A193="","",IF(N(AS193)=0,"",$A193+VLOOKUP(AR193,Schichten!$A$5:$G$24,3,FALSE())))</f>
        <v/>
      </c>
      <c r="AV193" s="28" t="str">
        <f aca="false">IF(AU193="","",$A193+VLOOKUP(AR193,Schichten!$A$5:$G$24,4,FALSE())+IF(VLOOKUP(AR193,Schichten!$A$5:$G$24,4,FALSE())&lt;=VLOOKUP(AR193,Schichten!$A$5:$G$24,3,FALSE()),1,0))</f>
        <v/>
      </c>
      <c r="AW193" s="28" t="str">
        <f aca="false">IF($A193="","",IF(N(AS192)&gt;0,AV192,AW192))</f>
        <v/>
      </c>
      <c r="AX193" s="27" t="str">
        <f aca="false">IF(OR(AU193="",AW193=""),"",(AU193-AW193)*24)</f>
        <v/>
      </c>
      <c r="AY193" s="21" t="n">
        <f aca="false">IF($A193="","",IF(N(AS193)&gt;0,N(AY192)+1,0))</f>
        <v>0</v>
      </c>
      <c r="AZ193" s="21" t="n">
        <f aca="false">IF($A193="","",IF(N(AT193)&gt;0,N(AZ192)+1,0))</f>
        <v>0</v>
      </c>
      <c r="BA193" s="21" t="str">
        <f aca="false">IF($A193="","",IF(WEEKDAY($A193,2)&lt;&gt;7,"",IF(AND(OR(AU193="",N(AU193)&gt;=$A193+16/24,N(AV193)&lt;=$A193+6/24),OR(AW193="",N(AW193)&lt;=$A193+6/24)),1,0)))</f>
        <v/>
      </c>
    </row>
    <row r="194" customFormat="false" ht="15" hidden="false" customHeight="false" outlineLevel="0" collapsed="false">
      <c r="A194" s="25" t="n">
        <f aca="false">IF(YEAR(DATE(Einstellungen!$C$4,1,1)+189)=Einstellungen!$C$4,DATE(Einstellungen!$C$4,1,1)+189,"")</f>
        <v>46577</v>
      </c>
      <c r="B194" s="26" t="str">
        <f aca="false">IF($A194="","",CHOOSE(WEEKDAY($A194,2),"Mo","Di","Mi","Do","Fr","Sa","So"))</f>
        <v>Fr</v>
      </c>
      <c r="C194" s="26" t="n">
        <f aca="false">IF($A194="","",MONTH($A194))</f>
        <v>7</v>
      </c>
      <c r="D194" s="26" t="str">
        <f aca="false">IF($A194="","",IF(INDEX(Muster!$C$6:$BF$6,1,MOD($A194-Einstellungen!$C$6,Einstellungen!$C$7)+1)="","-",INDEX(Muster!$C$6:$BF$6,1,MOD($A194-Einstellungen!$C$6,Einstellungen!$C$7)+1)))</f>
        <v>S</v>
      </c>
      <c r="E194" s="27" t="n">
        <f aca="false">IF($A194="","",IFERROR(VLOOKUP(D194,Schichten!$A$5:$G$24,6,FALSE()),0))</f>
        <v>8</v>
      </c>
      <c r="F194" s="27" t="n">
        <f aca="false">IF($A194="","",IFERROR(VLOOKUP(D194,Schichten!$A$5:$G$24,7,FALSE()),0))</f>
        <v>0</v>
      </c>
      <c r="G194" s="28" t="n">
        <f aca="false">IF($A194="","",IF(N(E194)=0,"",$A194+VLOOKUP(D194,Schichten!$A$5:$G$24,3,FALSE())))</f>
        <v>46577.5833333333</v>
      </c>
      <c r="H194" s="28" t="n">
        <f aca="false">IF(G194="","",$A194+VLOOKUP(D194,Schichten!$A$5:$G$24,4,FALSE())+IF(VLOOKUP(D194,Schichten!$A$5:$G$24,4,FALSE())&lt;=VLOOKUP(D194,Schichten!$A$5:$G$24,3,FALSE()),1,0))</f>
        <v>46577.9166666667</v>
      </c>
      <c r="I194" s="28" t="n">
        <f aca="false">IF($A194="","",IF(N(E193)&gt;0,H193,I193))</f>
        <v>46576.5833333333</v>
      </c>
      <c r="J194" s="27" t="n">
        <f aca="false">IF(OR(G194="",I194=""),"",(G194-I194)*24)</f>
        <v>24</v>
      </c>
      <c r="K194" s="21" t="n">
        <f aca="false">IF($A194="","",IF(N(E194)&gt;0,N(K193)+1,0))</f>
        <v>3</v>
      </c>
      <c r="L194" s="21" t="n">
        <f aca="false">IF($A194="","",IF(N(F194)&gt;0,N(L193)+1,0))</f>
        <v>0</v>
      </c>
      <c r="M194" s="21" t="str">
        <f aca="false">IF($A194="","",IF(WEEKDAY($A194,2)&lt;&gt;7,"",IF(AND(OR(G194="",N(G194)&gt;=$A194+16/24,N(H194)&lt;=$A194+6/24),OR(I194="",N(I194)&lt;=$A194+6/24)),1,0)))</f>
        <v/>
      </c>
      <c r="N194" s="26" t="str">
        <f aca="false">IF($A194="","",IF(INDEX(Muster!$C$7:$BF$7,1,MOD($A194-Einstellungen!$C$6,Einstellungen!$C$7)+1)="","-",INDEX(Muster!$C$7:$BF$7,1,MOD($A194-Einstellungen!$C$6,Einstellungen!$C$7)+1)))</f>
        <v>F</v>
      </c>
      <c r="O194" s="27" t="n">
        <f aca="false">IF($A194="","",IFERROR(VLOOKUP(N194,Schichten!$A$5:$G$24,6,FALSE()),0))</f>
        <v>8</v>
      </c>
      <c r="P194" s="27" t="n">
        <f aca="false">IF($A194="","",IFERROR(VLOOKUP(N194,Schichten!$A$5:$G$24,7,FALSE()),0))</f>
        <v>0</v>
      </c>
      <c r="Q194" s="28" t="n">
        <f aca="false">IF($A194="","",IF(N(O194)=0,"",$A194+VLOOKUP(N194,Schichten!$A$5:$G$24,3,FALSE())))</f>
        <v>46577.25</v>
      </c>
      <c r="R194" s="28" t="n">
        <f aca="false">IF(Q194="","",$A194+VLOOKUP(N194,Schichten!$A$5:$G$24,4,FALSE())+IF(VLOOKUP(N194,Schichten!$A$5:$G$24,4,FALSE())&lt;=VLOOKUP(N194,Schichten!$A$5:$G$24,3,FALSE()),1,0))</f>
        <v>46577.5833333333</v>
      </c>
      <c r="S194" s="28" t="n">
        <f aca="false">IF($A194="","",IF(N(O193)&gt;0,R193,S193))</f>
        <v>46575.25</v>
      </c>
      <c r="T194" s="27" t="n">
        <f aca="false">IF(OR(Q194="",S194=""),"",(Q194-S194)*24)</f>
        <v>48</v>
      </c>
      <c r="U194" s="21" t="n">
        <f aca="false">IF($A194="","",IF(N(O194)&gt;0,N(U193)+1,0))</f>
        <v>1</v>
      </c>
      <c r="V194" s="21" t="n">
        <f aca="false">IF($A194="","",IF(N(P194)&gt;0,N(V193)+1,0))</f>
        <v>0</v>
      </c>
      <c r="W194" s="21" t="str">
        <f aca="false">IF($A194="","",IF(WEEKDAY($A194,2)&lt;&gt;7,"",IF(AND(OR(Q194="",N(Q194)&gt;=$A194+16/24,N(R194)&lt;=$A194+6/24),OR(S194="",N(S194)&lt;=$A194+6/24)),1,0)))</f>
        <v/>
      </c>
      <c r="X194" s="26" t="str">
        <f aca="false">IF($A194="","",IF(INDEX(Muster!$C$8:$BF$8,1,MOD($A194-Einstellungen!$C$6,Einstellungen!$C$7)+1)="","-",INDEX(Muster!$C$8:$BF$8,1,MOD($A194-Einstellungen!$C$6,Einstellungen!$C$7)+1)))</f>
        <v>-</v>
      </c>
      <c r="Y194" s="27" t="n">
        <f aca="false">IF($A194="","",IFERROR(VLOOKUP(X194,Schichten!$A$5:$G$24,6,FALSE()),0))</f>
        <v>0</v>
      </c>
      <c r="Z194" s="27" t="n">
        <f aca="false">IF($A194="","",IFERROR(VLOOKUP(X194,Schichten!$A$5:$G$24,7,FALSE()),0))</f>
        <v>0</v>
      </c>
      <c r="AA194" s="28" t="str">
        <f aca="false">IF($A194="","",IF(N(Y194)=0,"",$A194+VLOOKUP(X194,Schichten!$A$5:$G$24,3,FALSE())))</f>
        <v/>
      </c>
      <c r="AB194" s="28" t="str">
        <f aca="false">IF(AA194="","",$A194+VLOOKUP(X194,Schichten!$A$5:$G$24,4,FALSE())+IF(VLOOKUP(X194,Schichten!$A$5:$G$24,4,FALSE())&lt;=VLOOKUP(X194,Schichten!$A$5:$G$24,3,FALSE()),1,0))</f>
        <v/>
      </c>
      <c r="AC194" s="28" t="n">
        <f aca="false">IF($A194="","",IF(N(Y193)&gt;0,AB193,AC193))</f>
        <v>46577.25</v>
      </c>
      <c r="AD194" s="27" t="str">
        <f aca="false">IF(OR(AA194="",AC194=""),"",(AA194-AC194)*24)</f>
        <v/>
      </c>
      <c r="AE194" s="21" t="n">
        <f aca="false">IF($A194="","",IF(N(Y194)&gt;0,N(AE193)+1,0))</f>
        <v>0</v>
      </c>
      <c r="AF194" s="21" t="n">
        <f aca="false">IF($A194="","",IF(N(Z194)&gt;0,N(AF193)+1,0))</f>
        <v>0</v>
      </c>
      <c r="AG194" s="21" t="str">
        <f aca="false">IF($A194="","",IF(WEEKDAY($A194,2)&lt;&gt;7,"",IF(AND(OR(AA194="",N(AA194)&gt;=$A194+16/24,N(AB194)&lt;=$A194+6/24),OR(AC194="",N(AC194)&lt;=$A194+6/24)),1,0)))</f>
        <v/>
      </c>
      <c r="AH194" s="26" t="str">
        <f aca="false">IF($A194="","",IF(INDEX(Muster!$C$9:$BF$9,1,MOD($A194-Einstellungen!$C$6,Einstellungen!$C$7)+1)="","-",INDEX(Muster!$C$9:$BF$9,1,MOD($A194-Einstellungen!$C$6,Einstellungen!$C$7)+1)))</f>
        <v>N</v>
      </c>
      <c r="AI194" s="27" t="n">
        <f aca="false">IF($A194="","",IFERROR(VLOOKUP(AH194,Schichten!$A$5:$G$24,6,FALSE()),0))</f>
        <v>8</v>
      </c>
      <c r="AJ194" s="27" t="n">
        <f aca="false">IF($A194="","",IFERROR(VLOOKUP(AH194,Schichten!$A$5:$G$24,7,FALSE()),0))</f>
        <v>7</v>
      </c>
      <c r="AK194" s="28" t="n">
        <f aca="false">IF($A194="","",IF(N(AI194)=0,"",$A194+VLOOKUP(AH194,Schichten!$A$5:$G$24,3,FALSE())))</f>
        <v>46577.9166666667</v>
      </c>
      <c r="AL194" s="28" t="n">
        <f aca="false">IF(AK194="","",$A194+VLOOKUP(AH194,Schichten!$A$5:$G$24,4,FALSE())+IF(VLOOKUP(AH194,Schichten!$A$5:$G$24,4,FALSE())&lt;=VLOOKUP(AH194,Schichten!$A$5:$G$24,3,FALSE()),1,0))</f>
        <v>46578.25</v>
      </c>
      <c r="AM194" s="28" t="n">
        <f aca="false">IF($A194="","",IF(N(AI193)&gt;0,AL193,AM193))</f>
        <v>46576.9166666667</v>
      </c>
      <c r="AN194" s="27" t="n">
        <f aca="false">IF(OR(AK194="",AM194=""),"",(AK194-AM194)*24)</f>
        <v>24</v>
      </c>
      <c r="AO194" s="21" t="n">
        <f aca="false">IF($A194="","",IF(N(AI194)&gt;0,N(AO193)+1,0))</f>
        <v>5</v>
      </c>
      <c r="AP194" s="21" t="n">
        <f aca="false">IF($A194="","",IF(N(AJ194)&gt;0,N(AP193)+1,0))</f>
        <v>1</v>
      </c>
      <c r="AQ194" s="21" t="str">
        <f aca="false">IF($A194="","",IF(WEEKDAY($A194,2)&lt;&gt;7,"",IF(AND(OR(AK194="",N(AK194)&gt;=$A194+16/24,N(AL194)&lt;=$A194+6/24),OR(AM194="",N(AM194)&lt;=$A194+6/24)),1,0)))</f>
        <v/>
      </c>
      <c r="AR194" s="26" t="str">
        <f aca="false">IF($A194="","",IF(INDEX(Muster!$C$10:$BF$10,1,MOD($A194-Einstellungen!$C$6,Einstellungen!$C$7)+1)="","-",INDEX(Muster!$C$10:$BF$10,1,MOD($A194-Einstellungen!$C$6,Einstellungen!$C$7)+1)))</f>
        <v>-</v>
      </c>
      <c r="AS194" s="27" t="n">
        <f aca="false">IF($A194="","",IFERROR(VLOOKUP(AR194,Schichten!$A$5:$G$24,6,FALSE()),0))</f>
        <v>0</v>
      </c>
      <c r="AT194" s="27" t="n">
        <f aca="false">IF($A194="","",IFERROR(VLOOKUP(AR194,Schichten!$A$5:$G$24,7,FALSE()),0))</f>
        <v>0</v>
      </c>
      <c r="AU194" s="28" t="str">
        <f aca="false">IF($A194="","",IF(N(AS194)=0,"",$A194+VLOOKUP(AR194,Schichten!$A$5:$G$24,3,FALSE())))</f>
        <v/>
      </c>
      <c r="AV194" s="28" t="str">
        <f aca="false">IF(AU194="","",$A194+VLOOKUP(AR194,Schichten!$A$5:$G$24,4,FALSE())+IF(VLOOKUP(AR194,Schichten!$A$5:$G$24,4,FALSE())&lt;=VLOOKUP(AR194,Schichten!$A$5:$G$24,3,FALSE()),1,0))</f>
        <v/>
      </c>
      <c r="AW194" s="28" t="str">
        <f aca="false">IF($A194="","",IF(N(AS193)&gt;0,AV193,AW193))</f>
        <v/>
      </c>
      <c r="AX194" s="27" t="str">
        <f aca="false">IF(OR(AU194="",AW194=""),"",(AU194-AW194)*24)</f>
        <v/>
      </c>
      <c r="AY194" s="21" t="n">
        <f aca="false">IF($A194="","",IF(N(AS194)&gt;0,N(AY193)+1,0))</f>
        <v>0</v>
      </c>
      <c r="AZ194" s="21" t="n">
        <f aca="false">IF($A194="","",IF(N(AT194)&gt;0,N(AZ193)+1,0))</f>
        <v>0</v>
      </c>
      <c r="BA194" s="21" t="str">
        <f aca="false">IF($A194="","",IF(WEEKDAY($A194,2)&lt;&gt;7,"",IF(AND(OR(AU194="",N(AU194)&gt;=$A194+16/24,N(AV194)&lt;=$A194+6/24),OR(AW194="",N(AW194)&lt;=$A194+6/24)),1,0)))</f>
        <v/>
      </c>
    </row>
    <row r="195" customFormat="false" ht="15" hidden="false" customHeight="false" outlineLevel="0" collapsed="false">
      <c r="A195" s="25" t="n">
        <f aca="false">IF(YEAR(DATE(Einstellungen!$C$4,1,1)+190)=Einstellungen!$C$4,DATE(Einstellungen!$C$4,1,1)+190,"")</f>
        <v>46578</v>
      </c>
      <c r="B195" s="26" t="str">
        <f aca="false">IF($A195="","",CHOOSE(WEEKDAY($A195,2),"Mo","Di","Mi","Do","Fr","Sa","So"))</f>
        <v>Sa</v>
      </c>
      <c r="C195" s="26" t="n">
        <f aca="false">IF($A195="","",MONTH($A195))</f>
        <v>7</v>
      </c>
      <c r="D195" s="26" t="str">
        <f aca="false">IF($A195="","",IF(INDEX(Muster!$C$6:$BF$6,1,MOD($A195-Einstellungen!$C$6,Einstellungen!$C$7)+1)="","-",INDEX(Muster!$C$6:$BF$6,1,MOD($A195-Einstellungen!$C$6,Einstellungen!$C$7)+1)))</f>
        <v>S</v>
      </c>
      <c r="E195" s="27" t="n">
        <f aca="false">IF($A195="","",IFERROR(VLOOKUP(D195,Schichten!$A$5:$G$24,6,FALSE()),0))</f>
        <v>8</v>
      </c>
      <c r="F195" s="27" t="n">
        <f aca="false">IF($A195="","",IFERROR(VLOOKUP(D195,Schichten!$A$5:$G$24,7,FALSE()),0))</f>
        <v>0</v>
      </c>
      <c r="G195" s="28" t="n">
        <f aca="false">IF($A195="","",IF(N(E195)=0,"",$A195+VLOOKUP(D195,Schichten!$A$5:$G$24,3,FALSE())))</f>
        <v>46578.5833333333</v>
      </c>
      <c r="H195" s="28" t="n">
        <f aca="false">IF(G195="","",$A195+VLOOKUP(D195,Schichten!$A$5:$G$24,4,FALSE())+IF(VLOOKUP(D195,Schichten!$A$5:$G$24,4,FALSE())&lt;=VLOOKUP(D195,Schichten!$A$5:$G$24,3,FALSE()),1,0))</f>
        <v>46578.9166666667</v>
      </c>
      <c r="I195" s="28" t="n">
        <f aca="false">IF($A195="","",IF(N(E194)&gt;0,H194,I194))</f>
        <v>46577.9166666667</v>
      </c>
      <c r="J195" s="27" t="n">
        <f aca="false">IF(OR(G195="",I195=""),"",(G195-I195)*24)</f>
        <v>16</v>
      </c>
      <c r="K195" s="21" t="n">
        <f aca="false">IF($A195="","",IF(N(E195)&gt;0,N(K194)+1,0))</f>
        <v>4</v>
      </c>
      <c r="L195" s="21" t="n">
        <f aca="false">IF($A195="","",IF(N(F195)&gt;0,N(L194)+1,0))</f>
        <v>0</v>
      </c>
      <c r="M195" s="21" t="str">
        <f aca="false">IF($A195="","",IF(WEEKDAY($A195,2)&lt;&gt;7,"",IF(AND(OR(G195="",N(G195)&gt;=$A195+16/24,N(H195)&lt;=$A195+6/24),OR(I195="",N(I195)&lt;=$A195+6/24)),1,0)))</f>
        <v/>
      </c>
      <c r="N195" s="26" t="str">
        <f aca="false">IF($A195="","",IF(INDEX(Muster!$C$7:$BF$7,1,MOD($A195-Einstellungen!$C$6,Einstellungen!$C$7)+1)="","-",INDEX(Muster!$C$7:$BF$7,1,MOD($A195-Einstellungen!$C$6,Einstellungen!$C$7)+1)))</f>
        <v>F</v>
      </c>
      <c r="O195" s="27" t="n">
        <f aca="false">IF($A195="","",IFERROR(VLOOKUP(N195,Schichten!$A$5:$G$24,6,FALSE()),0))</f>
        <v>8</v>
      </c>
      <c r="P195" s="27" t="n">
        <f aca="false">IF($A195="","",IFERROR(VLOOKUP(N195,Schichten!$A$5:$G$24,7,FALSE()),0))</f>
        <v>0</v>
      </c>
      <c r="Q195" s="28" t="n">
        <f aca="false">IF($A195="","",IF(N(O195)=0,"",$A195+VLOOKUP(N195,Schichten!$A$5:$G$24,3,FALSE())))</f>
        <v>46578.25</v>
      </c>
      <c r="R195" s="28" t="n">
        <f aca="false">IF(Q195="","",$A195+VLOOKUP(N195,Schichten!$A$5:$G$24,4,FALSE())+IF(VLOOKUP(N195,Schichten!$A$5:$G$24,4,FALSE())&lt;=VLOOKUP(N195,Schichten!$A$5:$G$24,3,FALSE()),1,0))</f>
        <v>46578.5833333333</v>
      </c>
      <c r="S195" s="28" t="n">
        <f aca="false">IF($A195="","",IF(N(O194)&gt;0,R194,S194))</f>
        <v>46577.5833333333</v>
      </c>
      <c r="T195" s="27" t="n">
        <f aca="false">IF(OR(Q195="",S195=""),"",(Q195-S195)*24)</f>
        <v>16</v>
      </c>
      <c r="U195" s="21" t="n">
        <f aca="false">IF($A195="","",IF(N(O195)&gt;0,N(U194)+1,0))</f>
        <v>2</v>
      </c>
      <c r="V195" s="21" t="n">
        <f aca="false">IF($A195="","",IF(N(P195)&gt;0,N(V194)+1,0))</f>
        <v>0</v>
      </c>
      <c r="W195" s="21" t="str">
        <f aca="false">IF($A195="","",IF(WEEKDAY($A195,2)&lt;&gt;7,"",IF(AND(OR(Q195="",N(Q195)&gt;=$A195+16/24,N(R195)&lt;=$A195+6/24),OR(S195="",N(S195)&lt;=$A195+6/24)),1,0)))</f>
        <v/>
      </c>
      <c r="X195" s="26" t="str">
        <f aca="false">IF($A195="","",IF(INDEX(Muster!$C$8:$BF$8,1,MOD($A195-Einstellungen!$C$6,Einstellungen!$C$7)+1)="","-",INDEX(Muster!$C$8:$BF$8,1,MOD($A195-Einstellungen!$C$6,Einstellungen!$C$7)+1)))</f>
        <v>-</v>
      </c>
      <c r="Y195" s="27" t="n">
        <f aca="false">IF($A195="","",IFERROR(VLOOKUP(X195,Schichten!$A$5:$G$24,6,FALSE()),0))</f>
        <v>0</v>
      </c>
      <c r="Z195" s="27" t="n">
        <f aca="false">IF($A195="","",IFERROR(VLOOKUP(X195,Schichten!$A$5:$G$24,7,FALSE()),0))</f>
        <v>0</v>
      </c>
      <c r="AA195" s="28" t="str">
        <f aca="false">IF($A195="","",IF(N(Y195)=0,"",$A195+VLOOKUP(X195,Schichten!$A$5:$G$24,3,FALSE())))</f>
        <v/>
      </c>
      <c r="AB195" s="28" t="str">
        <f aca="false">IF(AA195="","",$A195+VLOOKUP(X195,Schichten!$A$5:$G$24,4,FALSE())+IF(VLOOKUP(X195,Schichten!$A$5:$G$24,4,FALSE())&lt;=VLOOKUP(X195,Schichten!$A$5:$G$24,3,FALSE()),1,0))</f>
        <v/>
      </c>
      <c r="AC195" s="28" t="n">
        <f aca="false">IF($A195="","",IF(N(Y194)&gt;0,AB194,AC194))</f>
        <v>46577.25</v>
      </c>
      <c r="AD195" s="27" t="str">
        <f aca="false">IF(OR(AA195="",AC195=""),"",(AA195-AC195)*24)</f>
        <v/>
      </c>
      <c r="AE195" s="21" t="n">
        <f aca="false">IF($A195="","",IF(N(Y195)&gt;0,N(AE194)+1,0))</f>
        <v>0</v>
      </c>
      <c r="AF195" s="21" t="n">
        <f aca="false">IF($A195="","",IF(N(Z195)&gt;0,N(AF194)+1,0))</f>
        <v>0</v>
      </c>
      <c r="AG195" s="21" t="str">
        <f aca="false">IF($A195="","",IF(WEEKDAY($A195,2)&lt;&gt;7,"",IF(AND(OR(AA195="",N(AA195)&gt;=$A195+16/24,N(AB195)&lt;=$A195+6/24),OR(AC195="",N(AC195)&lt;=$A195+6/24)),1,0)))</f>
        <v/>
      </c>
      <c r="AH195" s="26" t="str">
        <f aca="false">IF($A195="","",IF(INDEX(Muster!$C$9:$BF$9,1,MOD($A195-Einstellungen!$C$6,Einstellungen!$C$7)+1)="","-",INDEX(Muster!$C$9:$BF$9,1,MOD($A195-Einstellungen!$C$6,Einstellungen!$C$7)+1)))</f>
        <v>N</v>
      </c>
      <c r="AI195" s="27" t="n">
        <f aca="false">IF($A195="","",IFERROR(VLOOKUP(AH195,Schichten!$A$5:$G$24,6,FALSE()),0))</f>
        <v>8</v>
      </c>
      <c r="AJ195" s="27" t="n">
        <f aca="false">IF($A195="","",IFERROR(VLOOKUP(AH195,Schichten!$A$5:$G$24,7,FALSE()),0))</f>
        <v>7</v>
      </c>
      <c r="AK195" s="28" t="n">
        <f aca="false">IF($A195="","",IF(N(AI195)=0,"",$A195+VLOOKUP(AH195,Schichten!$A$5:$G$24,3,FALSE())))</f>
        <v>46578.9166666667</v>
      </c>
      <c r="AL195" s="28" t="n">
        <f aca="false">IF(AK195="","",$A195+VLOOKUP(AH195,Schichten!$A$5:$G$24,4,FALSE())+IF(VLOOKUP(AH195,Schichten!$A$5:$G$24,4,FALSE())&lt;=VLOOKUP(AH195,Schichten!$A$5:$G$24,3,FALSE()),1,0))</f>
        <v>46579.25</v>
      </c>
      <c r="AM195" s="28" t="n">
        <f aca="false">IF($A195="","",IF(N(AI194)&gt;0,AL194,AM194))</f>
        <v>46578.25</v>
      </c>
      <c r="AN195" s="27" t="n">
        <f aca="false">IF(OR(AK195="",AM195=""),"",(AK195-AM195)*24)</f>
        <v>16</v>
      </c>
      <c r="AO195" s="21" t="n">
        <f aca="false">IF($A195="","",IF(N(AI195)&gt;0,N(AO194)+1,0))</f>
        <v>6</v>
      </c>
      <c r="AP195" s="21" t="n">
        <f aca="false">IF($A195="","",IF(N(AJ195)&gt;0,N(AP194)+1,0))</f>
        <v>2</v>
      </c>
      <c r="AQ195" s="21" t="str">
        <f aca="false">IF($A195="","",IF(WEEKDAY($A195,2)&lt;&gt;7,"",IF(AND(OR(AK195="",N(AK195)&gt;=$A195+16/24,N(AL195)&lt;=$A195+6/24),OR(AM195="",N(AM195)&lt;=$A195+6/24)),1,0)))</f>
        <v/>
      </c>
      <c r="AR195" s="26" t="str">
        <f aca="false">IF($A195="","",IF(INDEX(Muster!$C$10:$BF$10,1,MOD($A195-Einstellungen!$C$6,Einstellungen!$C$7)+1)="","-",INDEX(Muster!$C$10:$BF$10,1,MOD($A195-Einstellungen!$C$6,Einstellungen!$C$7)+1)))</f>
        <v>-</v>
      </c>
      <c r="AS195" s="27" t="n">
        <f aca="false">IF($A195="","",IFERROR(VLOOKUP(AR195,Schichten!$A$5:$G$24,6,FALSE()),0))</f>
        <v>0</v>
      </c>
      <c r="AT195" s="27" t="n">
        <f aca="false">IF($A195="","",IFERROR(VLOOKUP(AR195,Schichten!$A$5:$G$24,7,FALSE()),0))</f>
        <v>0</v>
      </c>
      <c r="AU195" s="28" t="str">
        <f aca="false">IF($A195="","",IF(N(AS195)=0,"",$A195+VLOOKUP(AR195,Schichten!$A$5:$G$24,3,FALSE())))</f>
        <v/>
      </c>
      <c r="AV195" s="28" t="str">
        <f aca="false">IF(AU195="","",$A195+VLOOKUP(AR195,Schichten!$A$5:$G$24,4,FALSE())+IF(VLOOKUP(AR195,Schichten!$A$5:$G$24,4,FALSE())&lt;=VLOOKUP(AR195,Schichten!$A$5:$G$24,3,FALSE()),1,0))</f>
        <v/>
      </c>
      <c r="AW195" s="28" t="str">
        <f aca="false">IF($A195="","",IF(N(AS194)&gt;0,AV194,AW194))</f>
        <v/>
      </c>
      <c r="AX195" s="27" t="str">
        <f aca="false">IF(OR(AU195="",AW195=""),"",(AU195-AW195)*24)</f>
        <v/>
      </c>
      <c r="AY195" s="21" t="n">
        <f aca="false">IF($A195="","",IF(N(AS195)&gt;0,N(AY194)+1,0))</f>
        <v>0</v>
      </c>
      <c r="AZ195" s="21" t="n">
        <f aca="false">IF($A195="","",IF(N(AT195)&gt;0,N(AZ194)+1,0))</f>
        <v>0</v>
      </c>
      <c r="BA195" s="21" t="str">
        <f aca="false">IF($A195="","",IF(WEEKDAY($A195,2)&lt;&gt;7,"",IF(AND(OR(AU195="",N(AU195)&gt;=$A195+16/24,N(AV195)&lt;=$A195+6/24),OR(AW195="",N(AW195)&lt;=$A195+6/24)),1,0)))</f>
        <v/>
      </c>
    </row>
    <row r="196" customFormat="false" ht="15" hidden="false" customHeight="false" outlineLevel="0" collapsed="false">
      <c r="A196" s="25" t="n">
        <f aca="false">IF(YEAR(DATE(Einstellungen!$C$4,1,1)+191)=Einstellungen!$C$4,DATE(Einstellungen!$C$4,1,1)+191,"")</f>
        <v>46579</v>
      </c>
      <c r="B196" s="26" t="str">
        <f aca="false">IF($A196="","",CHOOSE(WEEKDAY($A196,2),"Mo","Di","Mi","Do","Fr","Sa","So"))</f>
        <v>So</v>
      </c>
      <c r="C196" s="26" t="n">
        <f aca="false">IF($A196="","",MONTH($A196))</f>
        <v>7</v>
      </c>
      <c r="D196" s="26" t="str">
        <f aca="false">IF($A196="","",IF(INDEX(Muster!$C$6:$BF$6,1,MOD($A196-Einstellungen!$C$6,Einstellungen!$C$7)+1)="","-",INDEX(Muster!$C$6:$BF$6,1,MOD($A196-Einstellungen!$C$6,Einstellungen!$C$7)+1)))</f>
        <v>N</v>
      </c>
      <c r="E196" s="27" t="n">
        <f aca="false">IF($A196="","",IFERROR(VLOOKUP(D196,Schichten!$A$5:$G$24,6,FALSE()),0))</f>
        <v>8</v>
      </c>
      <c r="F196" s="27" t="n">
        <f aca="false">IF($A196="","",IFERROR(VLOOKUP(D196,Schichten!$A$5:$G$24,7,FALSE()),0))</f>
        <v>7</v>
      </c>
      <c r="G196" s="28" t="n">
        <f aca="false">IF($A196="","",IF(N(E196)=0,"",$A196+VLOOKUP(D196,Schichten!$A$5:$G$24,3,FALSE())))</f>
        <v>46579.9166666667</v>
      </c>
      <c r="H196" s="28" t="n">
        <f aca="false">IF(G196="","",$A196+VLOOKUP(D196,Schichten!$A$5:$G$24,4,FALSE())+IF(VLOOKUP(D196,Schichten!$A$5:$G$24,4,FALSE())&lt;=VLOOKUP(D196,Schichten!$A$5:$G$24,3,FALSE()),1,0))</f>
        <v>46580.25</v>
      </c>
      <c r="I196" s="28" t="n">
        <f aca="false">IF($A196="","",IF(N(E195)&gt;0,H195,I195))</f>
        <v>46578.9166666667</v>
      </c>
      <c r="J196" s="27" t="n">
        <f aca="false">IF(OR(G196="",I196=""),"",(G196-I196)*24)</f>
        <v>24</v>
      </c>
      <c r="K196" s="21" t="n">
        <f aca="false">IF($A196="","",IF(N(E196)&gt;0,N(K195)+1,0))</f>
        <v>5</v>
      </c>
      <c r="L196" s="21" t="n">
        <f aca="false">IF($A196="","",IF(N(F196)&gt;0,N(L195)+1,0))</f>
        <v>1</v>
      </c>
      <c r="M196" s="21" t="n">
        <f aca="false">IF($A196="","",IF(WEEKDAY($A196,2)&lt;&gt;7,"",IF(AND(OR(G196="",N(G196)&gt;=$A196+16/24,N(H196)&lt;=$A196+6/24),OR(I196="",N(I196)&lt;=$A196+6/24)),1,0)))</f>
        <v>1</v>
      </c>
      <c r="N196" s="26" t="str">
        <f aca="false">IF($A196="","",IF(INDEX(Muster!$C$7:$BF$7,1,MOD($A196-Einstellungen!$C$6,Einstellungen!$C$7)+1)="","-",INDEX(Muster!$C$7:$BF$7,1,MOD($A196-Einstellungen!$C$6,Einstellungen!$C$7)+1)))</f>
        <v>S</v>
      </c>
      <c r="O196" s="27" t="n">
        <f aca="false">IF($A196="","",IFERROR(VLOOKUP(N196,Schichten!$A$5:$G$24,6,FALSE()),0))</f>
        <v>8</v>
      </c>
      <c r="P196" s="27" t="n">
        <f aca="false">IF($A196="","",IFERROR(VLOOKUP(N196,Schichten!$A$5:$G$24,7,FALSE()),0))</f>
        <v>0</v>
      </c>
      <c r="Q196" s="28" t="n">
        <f aca="false">IF($A196="","",IF(N(O196)=0,"",$A196+VLOOKUP(N196,Schichten!$A$5:$G$24,3,FALSE())))</f>
        <v>46579.5833333333</v>
      </c>
      <c r="R196" s="28" t="n">
        <f aca="false">IF(Q196="","",$A196+VLOOKUP(N196,Schichten!$A$5:$G$24,4,FALSE())+IF(VLOOKUP(N196,Schichten!$A$5:$G$24,4,FALSE())&lt;=VLOOKUP(N196,Schichten!$A$5:$G$24,3,FALSE()),1,0))</f>
        <v>46579.9166666667</v>
      </c>
      <c r="S196" s="28" t="n">
        <f aca="false">IF($A196="","",IF(N(O195)&gt;0,R195,S195))</f>
        <v>46578.5833333333</v>
      </c>
      <c r="T196" s="27" t="n">
        <f aca="false">IF(OR(Q196="",S196=""),"",(Q196-S196)*24)</f>
        <v>24</v>
      </c>
      <c r="U196" s="21" t="n">
        <f aca="false">IF($A196="","",IF(N(O196)&gt;0,N(U195)+1,0))</f>
        <v>3</v>
      </c>
      <c r="V196" s="21" t="n">
        <f aca="false">IF($A196="","",IF(N(P196)&gt;0,N(V195)+1,0))</f>
        <v>0</v>
      </c>
      <c r="W196" s="21" t="n">
        <f aca="false">IF($A196="","",IF(WEEKDAY($A196,2)&lt;&gt;7,"",IF(AND(OR(Q196="",N(Q196)&gt;=$A196+16/24,N(R196)&lt;=$A196+6/24),OR(S196="",N(S196)&lt;=$A196+6/24)),1,0)))</f>
        <v>0</v>
      </c>
      <c r="X196" s="26" t="str">
        <f aca="false">IF($A196="","",IF(INDEX(Muster!$C$8:$BF$8,1,MOD($A196-Einstellungen!$C$6,Einstellungen!$C$7)+1)="","-",INDEX(Muster!$C$8:$BF$8,1,MOD($A196-Einstellungen!$C$6,Einstellungen!$C$7)+1)))</f>
        <v>F</v>
      </c>
      <c r="Y196" s="27" t="n">
        <f aca="false">IF($A196="","",IFERROR(VLOOKUP(X196,Schichten!$A$5:$G$24,6,FALSE()),0))</f>
        <v>8</v>
      </c>
      <c r="Z196" s="27" t="n">
        <f aca="false">IF($A196="","",IFERROR(VLOOKUP(X196,Schichten!$A$5:$G$24,7,FALSE()),0))</f>
        <v>0</v>
      </c>
      <c r="AA196" s="28" t="n">
        <f aca="false">IF($A196="","",IF(N(Y196)=0,"",$A196+VLOOKUP(X196,Schichten!$A$5:$G$24,3,FALSE())))</f>
        <v>46579.25</v>
      </c>
      <c r="AB196" s="28" t="n">
        <f aca="false">IF(AA196="","",$A196+VLOOKUP(X196,Schichten!$A$5:$G$24,4,FALSE())+IF(VLOOKUP(X196,Schichten!$A$5:$G$24,4,FALSE())&lt;=VLOOKUP(X196,Schichten!$A$5:$G$24,3,FALSE()),1,0))</f>
        <v>46579.5833333333</v>
      </c>
      <c r="AC196" s="28" t="n">
        <f aca="false">IF($A196="","",IF(N(Y195)&gt;0,AB195,AC195))</f>
        <v>46577.25</v>
      </c>
      <c r="AD196" s="27" t="n">
        <f aca="false">IF(OR(AA196="",AC196=""),"",(AA196-AC196)*24)</f>
        <v>48</v>
      </c>
      <c r="AE196" s="21" t="n">
        <f aca="false">IF($A196="","",IF(N(Y196)&gt;0,N(AE195)+1,0))</f>
        <v>1</v>
      </c>
      <c r="AF196" s="21" t="n">
        <f aca="false">IF($A196="","",IF(N(Z196)&gt;0,N(AF195)+1,0))</f>
        <v>0</v>
      </c>
      <c r="AG196" s="21" t="n">
        <f aca="false">IF($A196="","",IF(WEEKDAY($A196,2)&lt;&gt;7,"",IF(AND(OR(AA196="",N(AA196)&gt;=$A196+16/24,N(AB196)&lt;=$A196+6/24),OR(AC196="",N(AC196)&lt;=$A196+6/24)),1,0)))</f>
        <v>0</v>
      </c>
      <c r="AH196" s="26" t="str">
        <f aca="false">IF($A196="","",IF(INDEX(Muster!$C$9:$BF$9,1,MOD($A196-Einstellungen!$C$6,Einstellungen!$C$7)+1)="","-",INDEX(Muster!$C$9:$BF$9,1,MOD($A196-Einstellungen!$C$6,Einstellungen!$C$7)+1)))</f>
        <v>-</v>
      </c>
      <c r="AI196" s="27" t="n">
        <f aca="false">IF($A196="","",IFERROR(VLOOKUP(AH196,Schichten!$A$5:$G$24,6,FALSE()),0))</f>
        <v>0</v>
      </c>
      <c r="AJ196" s="27" t="n">
        <f aca="false">IF($A196="","",IFERROR(VLOOKUP(AH196,Schichten!$A$5:$G$24,7,FALSE()),0))</f>
        <v>0</v>
      </c>
      <c r="AK196" s="28" t="str">
        <f aca="false">IF($A196="","",IF(N(AI196)=0,"",$A196+VLOOKUP(AH196,Schichten!$A$5:$G$24,3,FALSE())))</f>
        <v/>
      </c>
      <c r="AL196" s="28" t="str">
        <f aca="false">IF(AK196="","",$A196+VLOOKUP(AH196,Schichten!$A$5:$G$24,4,FALSE())+IF(VLOOKUP(AH196,Schichten!$A$5:$G$24,4,FALSE())&lt;=VLOOKUP(AH196,Schichten!$A$5:$G$24,3,FALSE()),1,0))</f>
        <v/>
      </c>
      <c r="AM196" s="28" t="n">
        <f aca="false">IF($A196="","",IF(N(AI195)&gt;0,AL195,AM195))</f>
        <v>46579.25</v>
      </c>
      <c r="AN196" s="27" t="str">
        <f aca="false">IF(OR(AK196="",AM196=""),"",(AK196-AM196)*24)</f>
        <v/>
      </c>
      <c r="AO196" s="21" t="n">
        <f aca="false">IF($A196="","",IF(N(AI196)&gt;0,N(AO195)+1,0))</f>
        <v>0</v>
      </c>
      <c r="AP196" s="21" t="n">
        <f aca="false">IF($A196="","",IF(N(AJ196)&gt;0,N(AP195)+1,0))</f>
        <v>0</v>
      </c>
      <c r="AQ196" s="21" t="n">
        <f aca="false">IF($A196="","",IF(WEEKDAY($A196,2)&lt;&gt;7,"",IF(AND(OR(AK196="",N(AK196)&gt;=$A196+16/24,N(AL196)&lt;=$A196+6/24),OR(AM196="",N(AM196)&lt;=$A196+6/24)),1,0)))</f>
        <v>1</v>
      </c>
      <c r="AR196" s="26" t="str">
        <f aca="false">IF($A196="","",IF(INDEX(Muster!$C$10:$BF$10,1,MOD($A196-Einstellungen!$C$6,Einstellungen!$C$7)+1)="","-",INDEX(Muster!$C$10:$BF$10,1,MOD($A196-Einstellungen!$C$6,Einstellungen!$C$7)+1)))</f>
        <v>-</v>
      </c>
      <c r="AS196" s="27" t="n">
        <f aca="false">IF($A196="","",IFERROR(VLOOKUP(AR196,Schichten!$A$5:$G$24,6,FALSE()),0))</f>
        <v>0</v>
      </c>
      <c r="AT196" s="27" t="n">
        <f aca="false">IF($A196="","",IFERROR(VLOOKUP(AR196,Schichten!$A$5:$G$24,7,FALSE()),0))</f>
        <v>0</v>
      </c>
      <c r="AU196" s="28" t="str">
        <f aca="false">IF($A196="","",IF(N(AS196)=0,"",$A196+VLOOKUP(AR196,Schichten!$A$5:$G$24,3,FALSE())))</f>
        <v/>
      </c>
      <c r="AV196" s="28" t="str">
        <f aca="false">IF(AU196="","",$A196+VLOOKUP(AR196,Schichten!$A$5:$G$24,4,FALSE())+IF(VLOOKUP(AR196,Schichten!$A$5:$G$24,4,FALSE())&lt;=VLOOKUP(AR196,Schichten!$A$5:$G$24,3,FALSE()),1,0))</f>
        <v/>
      </c>
      <c r="AW196" s="28" t="str">
        <f aca="false">IF($A196="","",IF(N(AS195)&gt;0,AV195,AW195))</f>
        <v/>
      </c>
      <c r="AX196" s="27" t="str">
        <f aca="false">IF(OR(AU196="",AW196=""),"",(AU196-AW196)*24)</f>
        <v/>
      </c>
      <c r="AY196" s="21" t="n">
        <f aca="false">IF($A196="","",IF(N(AS196)&gt;0,N(AY195)+1,0))</f>
        <v>0</v>
      </c>
      <c r="AZ196" s="21" t="n">
        <f aca="false">IF($A196="","",IF(N(AT196)&gt;0,N(AZ195)+1,0))</f>
        <v>0</v>
      </c>
      <c r="BA196" s="21" t="n">
        <f aca="false">IF($A196="","",IF(WEEKDAY($A196,2)&lt;&gt;7,"",IF(AND(OR(AU196="",N(AU196)&gt;=$A196+16/24,N(AV196)&lt;=$A196+6/24),OR(AW196="",N(AW196)&lt;=$A196+6/24)),1,0)))</f>
        <v>1</v>
      </c>
    </row>
    <row r="197" customFormat="false" ht="15" hidden="false" customHeight="false" outlineLevel="0" collapsed="false">
      <c r="A197" s="25" t="n">
        <f aca="false">IF(YEAR(DATE(Einstellungen!$C$4,1,1)+192)=Einstellungen!$C$4,DATE(Einstellungen!$C$4,1,1)+192,"")</f>
        <v>46580</v>
      </c>
      <c r="B197" s="26" t="str">
        <f aca="false">IF($A197="","",CHOOSE(WEEKDAY($A197,2),"Mo","Di","Mi","Do","Fr","Sa","So"))</f>
        <v>Mo</v>
      </c>
      <c r="C197" s="26" t="n">
        <f aca="false">IF($A197="","",MONTH($A197))</f>
        <v>7</v>
      </c>
      <c r="D197" s="26" t="str">
        <f aca="false">IF($A197="","",IF(INDEX(Muster!$C$6:$BF$6,1,MOD($A197-Einstellungen!$C$6,Einstellungen!$C$7)+1)="","-",INDEX(Muster!$C$6:$BF$6,1,MOD($A197-Einstellungen!$C$6,Einstellungen!$C$7)+1)))</f>
        <v>N</v>
      </c>
      <c r="E197" s="27" t="n">
        <f aca="false">IF($A197="","",IFERROR(VLOOKUP(D197,Schichten!$A$5:$G$24,6,FALSE()),0))</f>
        <v>8</v>
      </c>
      <c r="F197" s="27" t="n">
        <f aca="false">IF($A197="","",IFERROR(VLOOKUP(D197,Schichten!$A$5:$G$24,7,FALSE()),0))</f>
        <v>7</v>
      </c>
      <c r="G197" s="28" t="n">
        <f aca="false">IF($A197="","",IF(N(E197)=0,"",$A197+VLOOKUP(D197,Schichten!$A$5:$G$24,3,FALSE())))</f>
        <v>46580.9166666667</v>
      </c>
      <c r="H197" s="28" t="n">
        <f aca="false">IF(G197="","",$A197+VLOOKUP(D197,Schichten!$A$5:$G$24,4,FALSE())+IF(VLOOKUP(D197,Schichten!$A$5:$G$24,4,FALSE())&lt;=VLOOKUP(D197,Schichten!$A$5:$G$24,3,FALSE()),1,0))</f>
        <v>46581.25</v>
      </c>
      <c r="I197" s="28" t="n">
        <f aca="false">IF($A197="","",IF(N(E196)&gt;0,H196,I196))</f>
        <v>46580.25</v>
      </c>
      <c r="J197" s="27" t="n">
        <f aca="false">IF(OR(G197="",I197=""),"",(G197-I197)*24)</f>
        <v>16</v>
      </c>
      <c r="K197" s="21" t="n">
        <f aca="false">IF($A197="","",IF(N(E197)&gt;0,N(K196)+1,0))</f>
        <v>6</v>
      </c>
      <c r="L197" s="21" t="n">
        <f aca="false">IF($A197="","",IF(N(F197)&gt;0,N(L196)+1,0))</f>
        <v>2</v>
      </c>
      <c r="M197" s="21" t="str">
        <f aca="false">IF($A197="","",IF(WEEKDAY($A197,2)&lt;&gt;7,"",IF(AND(OR(G197="",N(G197)&gt;=$A197+16/24,N(H197)&lt;=$A197+6/24),OR(I197="",N(I197)&lt;=$A197+6/24)),1,0)))</f>
        <v/>
      </c>
      <c r="N197" s="26" t="str">
        <f aca="false">IF($A197="","",IF(INDEX(Muster!$C$7:$BF$7,1,MOD($A197-Einstellungen!$C$6,Einstellungen!$C$7)+1)="","-",INDEX(Muster!$C$7:$BF$7,1,MOD($A197-Einstellungen!$C$6,Einstellungen!$C$7)+1)))</f>
        <v>S</v>
      </c>
      <c r="O197" s="27" t="n">
        <f aca="false">IF($A197="","",IFERROR(VLOOKUP(N197,Schichten!$A$5:$G$24,6,FALSE()),0))</f>
        <v>8</v>
      </c>
      <c r="P197" s="27" t="n">
        <f aca="false">IF($A197="","",IFERROR(VLOOKUP(N197,Schichten!$A$5:$G$24,7,FALSE()),0))</f>
        <v>0</v>
      </c>
      <c r="Q197" s="28" t="n">
        <f aca="false">IF($A197="","",IF(N(O197)=0,"",$A197+VLOOKUP(N197,Schichten!$A$5:$G$24,3,FALSE())))</f>
        <v>46580.5833333333</v>
      </c>
      <c r="R197" s="28" t="n">
        <f aca="false">IF(Q197="","",$A197+VLOOKUP(N197,Schichten!$A$5:$G$24,4,FALSE())+IF(VLOOKUP(N197,Schichten!$A$5:$G$24,4,FALSE())&lt;=VLOOKUP(N197,Schichten!$A$5:$G$24,3,FALSE()),1,0))</f>
        <v>46580.9166666667</v>
      </c>
      <c r="S197" s="28" t="n">
        <f aca="false">IF($A197="","",IF(N(O196)&gt;0,R196,S196))</f>
        <v>46579.9166666667</v>
      </c>
      <c r="T197" s="27" t="n">
        <f aca="false">IF(OR(Q197="",S197=""),"",(Q197-S197)*24)</f>
        <v>16</v>
      </c>
      <c r="U197" s="21" t="n">
        <f aca="false">IF($A197="","",IF(N(O197)&gt;0,N(U196)+1,0))</f>
        <v>4</v>
      </c>
      <c r="V197" s="21" t="n">
        <f aca="false">IF($A197="","",IF(N(P197)&gt;0,N(V196)+1,0))</f>
        <v>0</v>
      </c>
      <c r="W197" s="21" t="str">
        <f aca="false">IF($A197="","",IF(WEEKDAY($A197,2)&lt;&gt;7,"",IF(AND(OR(Q197="",N(Q197)&gt;=$A197+16/24,N(R197)&lt;=$A197+6/24),OR(S197="",N(S197)&lt;=$A197+6/24)),1,0)))</f>
        <v/>
      </c>
      <c r="X197" s="26" t="str">
        <f aca="false">IF($A197="","",IF(INDEX(Muster!$C$8:$BF$8,1,MOD($A197-Einstellungen!$C$6,Einstellungen!$C$7)+1)="","-",INDEX(Muster!$C$8:$BF$8,1,MOD($A197-Einstellungen!$C$6,Einstellungen!$C$7)+1)))</f>
        <v>F</v>
      </c>
      <c r="Y197" s="27" t="n">
        <f aca="false">IF($A197="","",IFERROR(VLOOKUP(X197,Schichten!$A$5:$G$24,6,FALSE()),0))</f>
        <v>8</v>
      </c>
      <c r="Z197" s="27" t="n">
        <f aca="false">IF($A197="","",IFERROR(VLOOKUP(X197,Schichten!$A$5:$G$24,7,FALSE()),0))</f>
        <v>0</v>
      </c>
      <c r="AA197" s="28" t="n">
        <f aca="false">IF($A197="","",IF(N(Y197)=0,"",$A197+VLOOKUP(X197,Schichten!$A$5:$G$24,3,FALSE())))</f>
        <v>46580.25</v>
      </c>
      <c r="AB197" s="28" t="n">
        <f aca="false">IF(AA197="","",$A197+VLOOKUP(X197,Schichten!$A$5:$G$24,4,FALSE())+IF(VLOOKUP(X197,Schichten!$A$5:$G$24,4,FALSE())&lt;=VLOOKUP(X197,Schichten!$A$5:$G$24,3,FALSE()),1,0))</f>
        <v>46580.5833333333</v>
      </c>
      <c r="AC197" s="28" t="n">
        <f aca="false">IF($A197="","",IF(N(Y196)&gt;0,AB196,AC196))</f>
        <v>46579.5833333333</v>
      </c>
      <c r="AD197" s="27" t="n">
        <f aca="false">IF(OR(AA197="",AC197=""),"",(AA197-AC197)*24)</f>
        <v>16</v>
      </c>
      <c r="AE197" s="21" t="n">
        <f aca="false">IF($A197="","",IF(N(Y197)&gt;0,N(AE196)+1,0))</f>
        <v>2</v>
      </c>
      <c r="AF197" s="21" t="n">
        <f aca="false">IF($A197="","",IF(N(Z197)&gt;0,N(AF196)+1,0))</f>
        <v>0</v>
      </c>
      <c r="AG197" s="21" t="str">
        <f aca="false">IF($A197="","",IF(WEEKDAY($A197,2)&lt;&gt;7,"",IF(AND(OR(AA197="",N(AA197)&gt;=$A197+16/24,N(AB197)&lt;=$A197+6/24),OR(AC197="",N(AC197)&lt;=$A197+6/24)),1,0)))</f>
        <v/>
      </c>
      <c r="AH197" s="26" t="str">
        <f aca="false">IF($A197="","",IF(INDEX(Muster!$C$9:$BF$9,1,MOD($A197-Einstellungen!$C$6,Einstellungen!$C$7)+1)="","-",INDEX(Muster!$C$9:$BF$9,1,MOD($A197-Einstellungen!$C$6,Einstellungen!$C$7)+1)))</f>
        <v>-</v>
      </c>
      <c r="AI197" s="27" t="n">
        <f aca="false">IF($A197="","",IFERROR(VLOOKUP(AH197,Schichten!$A$5:$G$24,6,FALSE()),0))</f>
        <v>0</v>
      </c>
      <c r="AJ197" s="27" t="n">
        <f aca="false">IF($A197="","",IFERROR(VLOOKUP(AH197,Schichten!$A$5:$G$24,7,FALSE()),0))</f>
        <v>0</v>
      </c>
      <c r="AK197" s="28" t="str">
        <f aca="false">IF($A197="","",IF(N(AI197)=0,"",$A197+VLOOKUP(AH197,Schichten!$A$5:$G$24,3,FALSE())))</f>
        <v/>
      </c>
      <c r="AL197" s="28" t="str">
        <f aca="false">IF(AK197="","",$A197+VLOOKUP(AH197,Schichten!$A$5:$G$24,4,FALSE())+IF(VLOOKUP(AH197,Schichten!$A$5:$G$24,4,FALSE())&lt;=VLOOKUP(AH197,Schichten!$A$5:$G$24,3,FALSE()),1,0))</f>
        <v/>
      </c>
      <c r="AM197" s="28" t="n">
        <f aca="false">IF($A197="","",IF(N(AI196)&gt;0,AL196,AM196))</f>
        <v>46579.25</v>
      </c>
      <c r="AN197" s="27" t="str">
        <f aca="false">IF(OR(AK197="",AM197=""),"",(AK197-AM197)*24)</f>
        <v/>
      </c>
      <c r="AO197" s="21" t="n">
        <f aca="false">IF($A197="","",IF(N(AI197)&gt;0,N(AO196)+1,0))</f>
        <v>0</v>
      </c>
      <c r="AP197" s="21" t="n">
        <f aca="false">IF($A197="","",IF(N(AJ197)&gt;0,N(AP196)+1,0))</f>
        <v>0</v>
      </c>
      <c r="AQ197" s="21" t="str">
        <f aca="false">IF($A197="","",IF(WEEKDAY($A197,2)&lt;&gt;7,"",IF(AND(OR(AK197="",N(AK197)&gt;=$A197+16/24,N(AL197)&lt;=$A197+6/24),OR(AM197="",N(AM197)&lt;=$A197+6/24)),1,0)))</f>
        <v/>
      </c>
      <c r="AR197" s="26" t="str">
        <f aca="false">IF($A197="","",IF(INDEX(Muster!$C$10:$BF$10,1,MOD($A197-Einstellungen!$C$6,Einstellungen!$C$7)+1)="","-",INDEX(Muster!$C$10:$BF$10,1,MOD($A197-Einstellungen!$C$6,Einstellungen!$C$7)+1)))</f>
        <v>-</v>
      </c>
      <c r="AS197" s="27" t="n">
        <f aca="false">IF($A197="","",IFERROR(VLOOKUP(AR197,Schichten!$A$5:$G$24,6,FALSE()),0))</f>
        <v>0</v>
      </c>
      <c r="AT197" s="27" t="n">
        <f aca="false">IF($A197="","",IFERROR(VLOOKUP(AR197,Schichten!$A$5:$G$24,7,FALSE()),0))</f>
        <v>0</v>
      </c>
      <c r="AU197" s="28" t="str">
        <f aca="false">IF($A197="","",IF(N(AS197)=0,"",$A197+VLOOKUP(AR197,Schichten!$A$5:$G$24,3,FALSE())))</f>
        <v/>
      </c>
      <c r="AV197" s="28" t="str">
        <f aca="false">IF(AU197="","",$A197+VLOOKUP(AR197,Schichten!$A$5:$G$24,4,FALSE())+IF(VLOOKUP(AR197,Schichten!$A$5:$G$24,4,FALSE())&lt;=VLOOKUP(AR197,Schichten!$A$5:$G$24,3,FALSE()),1,0))</f>
        <v/>
      </c>
      <c r="AW197" s="28" t="str">
        <f aca="false">IF($A197="","",IF(N(AS196)&gt;0,AV196,AW196))</f>
        <v/>
      </c>
      <c r="AX197" s="27" t="str">
        <f aca="false">IF(OR(AU197="",AW197=""),"",(AU197-AW197)*24)</f>
        <v/>
      </c>
      <c r="AY197" s="21" t="n">
        <f aca="false">IF($A197="","",IF(N(AS197)&gt;0,N(AY196)+1,0))</f>
        <v>0</v>
      </c>
      <c r="AZ197" s="21" t="n">
        <f aca="false">IF($A197="","",IF(N(AT197)&gt;0,N(AZ196)+1,0))</f>
        <v>0</v>
      </c>
      <c r="BA197" s="21" t="str">
        <f aca="false">IF($A197="","",IF(WEEKDAY($A197,2)&lt;&gt;7,"",IF(AND(OR(AU197="",N(AU197)&gt;=$A197+16/24,N(AV197)&lt;=$A197+6/24),OR(AW197="",N(AW197)&lt;=$A197+6/24)),1,0)))</f>
        <v/>
      </c>
    </row>
    <row r="198" customFormat="false" ht="15" hidden="false" customHeight="false" outlineLevel="0" collapsed="false">
      <c r="A198" s="25" t="n">
        <f aca="false">IF(YEAR(DATE(Einstellungen!$C$4,1,1)+193)=Einstellungen!$C$4,DATE(Einstellungen!$C$4,1,1)+193,"")</f>
        <v>46581</v>
      </c>
      <c r="B198" s="26" t="str">
        <f aca="false">IF($A198="","",CHOOSE(WEEKDAY($A198,2),"Mo","Di","Mi","Do","Fr","Sa","So"))</f>
        <v>Di</v>
      </c>
      <c r="C198" s="26" t="n">
        <f aca="false">IF($A198="","",MONTH($A198))</f>
        <v>7</v>
      </c>
      <c r="D198" s="26" t="str">
        <f aca="false">IF($A198="","",IF(INDEX(Muster!$C$6:$BF$6,1,MOD($A198-Einstellungen!$C$6,Einstellungen!$C$7)+1)="","-",INDEX(Muster!$C$6:$BF$6,1,MOD($A198-Einstellungen!$C$6,Einstellungen!$C$7)+1)))</f>
        <v>-</v>
      </c>
      <c r="E198" s="27" t="n">
        <f aca="false">IF($A198="","",IFERROR(VLOOKUP(D198,Schichten!$A$5:$G$24,6,FALSE()),0))</f>
        <v>0</v>
      </c>
      <c r="F198" s="27" t="n">
        <f aca="false">IF($A198="","",IFERROR(VLOOKUP(D198,Schichten!$A$5:$G$24,7,FALSE()),0))</f>
        <v>0</v>
      </c>
      <c r="G198" s="28" t="str">
        <f aca="false">IF($A198="","",IF(N(E198)=0,"",$A198+VLOOKUP(D198,Schichten!$A$5:$G$24,3,FALSE())))</f>
        <v/>
      </c>
      <c r="H198" s="28" t="str">
        <f aca="false">IF(G198="","",$A198+VLOOKUP(D198,Schichten!$A$5:$G$24,4,FALSE())+IF(VLOOKUP(D198,Schichten!$A$5:$G$24,4,FALSE())&lt;=VLOOKUP(D198,Schichten!$A$5:$G$24,3,FALSE()),1,0))</f>
        <v/>
      </c>
      <c r="I198" s="28" t="n">
        <f aca="false">IF($A198="","",IF(N(E197)&gt;0,H197,I197))</f>
        <v>46581.25</v>
      </c>
      <c r="J198" s="27" t="str">
        <f aca="false">IF(OR(G198="",I198=""),"",(G198-I198)*24)</f>
        <v/>
      </c>
      <c r="K198" s="21" t="n">
        <f aca="false">IF($A198="","",IF(N(E198)&gt;0,N(K197)+1,0))</f>
        <v>0</v>
      </c>
      <c r="L198" s="21" t="n">
        <f aca="false">IF($A198="","",IF(N(F198)&gt;0,N(L197)+1,0))</f>
        <v>0</v>
      </c>
      <c r="M198" s="21" t="str">
        <f aca="false">IF($A198="","",IF(WEEKDAY($A198,2)&lt;&gt;7,"",IF(AND(OR(G198="",N(G198)&gt;=$A198+16/24,N(H198)&lt;=$A198+6/24),OR(I198="",N(I198)&lt;=$A198+6/24)),1,0)))</f>
        <v/>
      </c>
      <c r="N198" s="26" t="str">
        <f aca="false">IF($A198="","",IF(INDEX(Muster!$C$7:$BF$7,1,MOD($A198-Einstellungen!$C$6,Einstellungen!$C$7)+1)="","-",INDEX(Muster!$C$7:$BF$7,1,MOD($A198-Einstellungen!$C$6,Einstellungen!$C$7)+1)))</f>
        <v>N</v>
      </c>
      <c r="O198" s="27" t="n">
        <f aca="false">IF($A198="","",IFERROR(VLOOKUP(N198,Schichten!$A$5:$G$24,6,FALSE()),0))</f>
        <v>8</v>
      </c>
      <c r="P198" s="27" t="n">
        <f aca="false">IF($A198="","",IFERROR(VLOOKUP(N198,Schichten!$A$5:$G$24,7,FALSE()),0))</f>
        <v>7</v>
      </c>
      <c r="Q198" s="28" t="n">
        <f aca="false">IF($A198="","",IF(N(O198)=0,"",$A198+VLOOKUP(N198,Schichten!$A$5:$G$24,3,FALSE())))</f>
        <v>46581.9166666667</v>
      </c>
      <c r="R198" s="28" t="n">
        <f aca="false">IF(Q198="","",$A198+VLOOKUP(N198,Schichten!$A$5:$G$24,4,FALSE())+IF(VLOOKUP(N198,Schichten!$A$5:$G$24,4,FALSE())&lt;=VLOOKUP(N198,Schichten!$A$5:$G$24,3,FALSE()),1,0))</f>
        <v>46582.25</v>
      </c>
      <c r="S198" s="28" t="n">
        <f aca="false">IF($A198="","",IF(N(O197)&gt;0,R197,S197))</f>
        <v>46580.9166666667</v>
      </c>
      <c r="T198" s="27" t="n">
        <f aca="false">IF(OR(Q198="",S198=""),"",(Q198-S198)*24)</f>
        <v>24</v>
      </c>
      <c r="U198" s="21" t="n">
        <f aca="false">IF($A198="","",IF(N(O198)&gt;0,N(U197)+1,0))</f>
        <v>5</v>
      </c>
      <c r="V198" s="21" t="n">
        <f aca="false">IF($A198="","",IF(N(P198)&gt;0,N(V197)+1,0))</f>
        <v>1</v>
      </c>
      <c r="W198" s="21" t="str">
        <f aca="false">IF($A198="","",IF(WEEKDAY($A198,2)&lt;&gt;7,"",IF(AND(OR(Q198="",N(Q198)&gt;=$A198+16/24,N(R198)&lt;=$A198+6/24),OR(S198="",N(S198)&lt;=$A198+6/24)),1,0)))</f>
        <v/>
      </c>
      <c r="X198" s="26" t="str">
        <f aca="false">IF($A198="","",IF(INDEX(Muster!$C$8:$BF$8,1,MOD($A198-Einstellungen!$C$6,Einstellungen!$C$7)+1)="","-",INDEX(Muster!$C$8:$BF$8,1,MOD($A198-Einstellungen!$C$6,Einstellungen!$C$7)+1)))</f>
        <v>S</v>
      </c>
      <c r="Y198" s="27" t="n">
        <f aca="false">IF($A198="","",IFERROR(VLOOKUP(X198,Schichten!$A$5:$G$24,6,FALSE()),0))</f>
        <v>8</v>
      </c>
      <c r="Z198" s="27" t="n">
        <f aca="false">IF($A198="","",IFERROR(VLOOKUP(X198,Schichten!$A$5:$G$24,7,FALSE()),0))</f>
        <v>0</v>
      </c>
      <c r="AA198" s="28" t="n">
        <f aca="false">IF($A198="","",IF(N(Y198)=0,"",$A198+VLOOKUP(X198,Schichten!$A$5:$G$24,3,FALSE())))</f>
        <v>46581.5833333333</v>
      </c>
      <c r="AB198" s="28" t="n">
        <f aca="false">IF(AA198="","",$A198+VLOOKUP(X198,Schichten!$A$5:$G$24,4,FALSE())+IF(VLOOKUP(X198,Schichten!$A$5:$G$24,4,FALSE())&lt;=VLOOKUP(X198,Schichten!$A$5:$G$24,3,FALSE()),1,0))</f>
        <v>46581.9166666667</v>
      </c>
      <c r="AC198" s="28" t="n">
        <f aca="false">IF($A198="","",IF(N(Y197)&gt;0,AB197,AC197))</f>
        <v>46580.5833333333</v>
      </c>
      <c r="AD198" s="27" t="n">
        <f aca="false">IF(OR(AA198="",AC198=""),"",(AA198-AC198)*24)</f>
        <v>24</v>
      </c>
      <c r="AE198" s="21" t="n">
        <f aca="false">IF($A198="","",IF(N(Y198)&gt;0,N(AE197)+1,0))</f>
        <v>3</v>
      </c>
      <c r="AF198" s="21" t="n">
        <f aca="false">IF($A198="","",IF(N(Z198)&gt;0,N(AF197)+1,0))</f>
        <v>0</v>
      </c>
      <c r="AG198" s="21" t="str">
        <f aca="false">IF($A198="","",IF(WEEKDAY($A198,2)&lt;&gt;7,"",IF(AND(OR(AA198="",N(AA198)&gt;=$A198+16/24,N(AB198)&lt;=$A198+6/24),OR(AC198="",N(AC198)&lt;=$A198+6/24)),1,0)))</f>
        <v/>
      </c>
      <c r="AH198" s="26" t="str">
        <f aca="false">IF($A198="","",IF(INDEX(Muster!$C$9:$BF$9,1,MOD($A198-Einstellungen!$C$6,Einstellungen!$C$7)+1)="","-",INDEX(Muster!$C$9:$BF$9,1,MOD($A198-Einstellungen!$C$6,Einstellungen!$C$7)+1)))</f>
        <v>F</v>
      </c>
      <c r="AI198" s="27" t="n">
        <f aca="false">IF($A198="","",IFERROR(VLOOKUP(AH198,Schichten!$A$5:$G$24,6,FALSE()),0))</f>
        <v>8</v>
      </c>
      <c r="AJ198" s="27" t="n">
        <f aca="false">IF($A198="","",IFERROR(VLOOKUP(AH198,Schichten!$A$5:$G$24,7,FALSE()),0))</f>
        <v>0</v>
      </c>
      <c r="AK198" s="28" t="n">
        <f aca="false">IF($A198="","",IF(N(AI198)=0,"",$A198+VLOOKUP(AH198,Schichten!$A$5:$G$24,3,FALSE())))</f>
        <v>46581.25</v>
      </c>
      <c r="AL198" s="28" t="n">
        <f aca="false">IF(AK198="","",$A198+VLOOKUP(AH198,Schichten!$A$5:$G$24,4,FALSE())+IF(VLOOKUP(AH198,Schichten!$A$5:$G$24,4,FALSE())&lt;=VLOOKUP(AH198,Schichten!$A$5:$G$24,3,FALSE()),1,0))</f>
        <v>46581.5833333333</v>
      </c>
      <c r="AM198" s="28" t="n">
        <f aca="false">IF($A198="","",IF(N(AI197)&gt;0,AL197,AM197))</f>
        <v>46579.25</v>
      </c>
      <c r="AN198" s="27" t="n">
        <f aca="false">IF(OR(AK198="",AM198=""),"",(AK198-AM198)*24)</f>
        <v>48</v>
      </c>
      <c r="AO198" s="21" t="n">
        <f aca="false">IF($A198="","",IF(N(AI198)&gt;0,N(AO197)+1,0))</f>
        <v>1</v>
      </c>
      <c r="AP198" s="21" t="n">
        <f aca="false">IF($A198="","",IF(N(AJ198)&gt;0,N(AP197)+1,0))</f>
        <v>0</v>
      </c>
      <c r="AQ198" s="21" t="str">
        <f aca="false">IF($A198="","",IF(WEEKDAY($A198,2)&lt;&gt;7,"",IF(AND(OR(AK198="",N(AK198)&gt;=$A198+16/24,N(AL198)&lt;=$A198+6/24),OR(AM198="",N(AM198)&lt;=$A198+6/24)),1,0)))</f>
        <v/>
      </c>
      <c r="AR198" s="26" t="str">
        <f aca="false">IF($A198="","",IF(INDEX(Muster!$C$10:$BF$10,1,MOD($A198-Einstellungen!$C$6,Einstellungen!$C$7)+1)="","-",INDEX(Muster!$C$10:$BF$10,1,MOD($A198-Einstellungen!$C$6,Einstellungen!$C$7)+1)))</f>
        <v>-</v>
      </c>
      <c r="AS198" s="27" t="n">
        <f aca="false">IF($A198="","",IFERROR(VLOOKUP(AR198,Schichten!$A$5:$G$24,6,FALSE()),0))</f>
        <v>0</v>
      </c>
      <c r="AT198" s="27" t="n">
        <f aca="false">IF($A198="","",IFERROR(VLOOKUP(AR198,Schichten!$A$5:$G$24,7,FALSE()),0))</f>
        <v>0</v>
      </c>
      <c r="AU198" s="28" t="str">
        <f aca="false">IF($A198="","",IF(N(AS198)=0,"",$A198+VLOOKUP(AR198,Schichten!$A$5:$G$24,3,FALSE())))</f>
        <v/>
      </c>
      <c r="AV198" s="28" t="str">
        <f aca="false">IF(AU198="","",$A198+VLOOKUP(AR198,Schichten!$A$5:$G$24,4,FALSE())+IF(VLOOKUP(AR198,Schichten!$A$5:$G$24,4,FALSE())&lt;=VLOOKUP(AR198,Schichten!$A$5:$G$24,3,FALSE()),1,0))</f>
        <v/>
      </c>
      <c r="AW198" s="28" t="str">
        <f aca="false">IF($A198="","",IF(N(AS197)&gt;0,AV197,AW197))</f>
        <v/>
      </c>
      <c r="AX198" s="27" t="str">
        <f aca="false">IF(OR(AU198="",AW198=""),"",(AU198-AW198)*24)</f>
        <v/>
      </c>
      <c r="AY198" s="21" t="n">
        <f aca="false">IF($A198="","",IF(N(AS198)&gt;0,N(AY197)+1,0))</f>
        <v>0</v>
      </c>
      <c r="AZ198" s="21" t="n">
        <f aca="false">IF($A198="","",IF(N(AT198)&gt;0,N(AZ197)+1,0))</f>
        <v>0</v>
      </c>
      <c r="BA198" s="21" t="str">
        <f aca="false">IF($A198="","",IF(WEEKDAY($A198,2)&lt;&gt;7,"",IF(AND(OR(AU198="",N(AU198)&gt;=$A198+16/24,N(AV198)&lt;=$A198+6/24),OR(AW198="",N(AW198)&lt;=$A198+6/24)),1,0)))</f>
        <v/>
      </c>
    </row>
    <row r="199" customFormat="false" ht="15" hidden="false" customHeight="false" outlineLevel="0" collapsed="false">
      <c r="A199" s="25" t="n">
        <f aca="false">IF(YEAR(DATE(Einstellungen!$C$4,1,1)+194)=Einstellungen!$C$4,DATE(Einstellungen!$C$4,1,1)+194,"")</f>
        <v>46582</v>
      </c>
      <c r="B199" s="26" t="str">
        <f aca="false">IF($A199="","",CHOOSE(WEEKDAY($A199,2),"Mo","Di","Mi","Do","Fr","Sa","So"))</f>
        <v>Mi</v>
      </c>
      <c r="C199" s="26" t="n">
        <f aca="false">IF($A199="","",MONTH($A199))</f>
        <v>7</v>
      </c>
      <c r="D199" s="26" t="str">
        <f aca="false">IF($A199="","",IF(INDEX(Muster!$C$6:$BF$6,1,MOD($A199-Einstellungen!$C$6,Einstellungen!$C$7)+1)="","-",INDEX(Muster!$C$6:$BF$6,1,MOD($A199-Einstellungen!$C$6,Einstellungen!$C$7)+1)))</f>
        <v>-</v>
      </c>
      <c r="E199" s="27" t="n">
        <f aca="false">IF($A199="","",IFERROR(VLOOKUP(D199,Schichten!$A$5:$G$24,6,FALSE()),0))</f>
        <v>0</v>
      </c>
      <c r="F199" s="27" t="n">
        <f aca="false">IF($A199="","",IFERROR(VLOOKUP(D199,Schichten!$A$5:$G$24,7,FALSE()),0))</f>
        <v>0</v>
      </c>
      <c r="G199" s="28" t="str">
        <f aca="false">IF($A199="","",IF(N(E199)=0,"",$A199+VLOOKUP(D199,Schichten!$A$5:$G$24,3,FALSE())))</f>
        <v/>
      </c>
      <c r="H199" s="28" t="str">
        <f aca="false">IF(G199="","",$A199+VLOOKUP(D199,Schichten!$A$5:$G$24,4,FALSE())+IF(VLOOKUP(D199,Schichten!$A$5:$G$24,4,FALSE())&lt;=VLOOKUP(D199,Schichten!$A$5:$G$24,3,FALSE()),1,0))</f>
        <v/>
      </c>
      <c r="I199" s="28" t="n">
        <f aca="false">IF($A199="","",IF(N(E198)&gt;0,H198,I198))</f>
        <v>46581.25</v>
      </c>
      <c r="J199" s="27" t="str">
        <f aca="false">IF(OR(G199="",I199=""),"",(G199-I199)*24)</f>
        <v/>
      </c>
      <c r="K199" s="21" t="n">
        <f aca="false">IF($A199="","",IF(N(E199)&gt;0,N(K198)+1,0))</f>
        <v>0</v>
      </c>
      <c r="L199" s="21" t="n">
        <f aca="false">IF($A199="","",IF(N(F199)&gt;0,N(L198)+1,0))</f>
        <v>0</v>
      </c>
      <c r="M199" s="21" t="str">
        <f aca="false">IF($A199="","",IF(WEEKDAY($A199,2)&lt;&gt;7,"",IF(AND(OR(G199="",N(G199)&gt;=$A199+16/24,N(H199)&lt;=$A199+6/24),OR(I199="",N(I199)&lt;=$A199+6/24)),1,0)))</f>
        <v/>
      </c>
      <c r="N199" s="26" t="str">
        <f aca="false">IF($A199="","",IF(INDEX(Muster!$C$7:$BF$7,1,MOD($A199-Einstellungen!$C$6,Einstellungen!$C$7)+1)="","-",INDEX(Muster!$C$7:$BF$7,1,MOD($A199-Einstellungen!$C$6,Einstellungen!$C$7)+1)))</f>
        <v>N</v>
      </c>
      <c r="O199" s="27" t="n">
        <f aca="false">IF($A199="","",IFERROR(VLOOKUP(N199,Schichten!$A$5:$G$24,6,FALSE()),0))</f>
        <v>8</v>
      </c>
      <c r="P199" s="27" t="n">
        <f aca="false">IF($A199="","",IFERROR(VLOOKUP(N199,Schichten!$A$5:$G$24,7,FALSE()),0))</f>
        <v>7</v>
      </c>
      <c r="Q199" s="28" t="n">
        <f aca="false">IF($A199="","",IF(N(O199)=0,"",$A199+VLOOKUP(N199,Schichten!$A$5:$G$24,3,FALSE())))</f>
        <v>46582.9166666667</v>
      </c>
      <c r="R199" s="28" t="n">
        <f aca="false">IF(Q199="","",$A199+VLOOKUP(N199,Schichten!$A$5:$G$24,4,FALSE())+IF(VLOOKUP(N199,Schichten!$A$5:$G$24,4,FALSE())&lt;=VLOOKUP(N199,Schichten!$A$5:$G$24,3,FALSE()),1,0))</f>
        <v>46583.25</v>
      </c>
      <c r="S199" s="28" t="n">
        <f aca="false">IF($A199="","",IF(N(O198)&gt;0,R198,S198))</f>
        <v>46582.25</v>
      </c>
      <c r="T199" s="27" t="n">
        <f aca="false">IF(OR(Q199="",S199=""),"",(Q199-S199)*24)</f>
        <v>16</v>
      </c>
      <c r="U199" s="21" t="n">
        <f aca="false">IF($A199="","",IF(N(O199)&gt;0,N(U198)+1,0))</f>
        <v>6</v>
      </c>
      <c r="V199" s="21" t="n">
        <f aca="false">IF($A199="","",IF(N(P199)&gt;0,N(V198)+1,0))</f>
        <v>2</v>
      </c>
      <c r="W199" s="21" t="str">
        <f aca="false">IF($A199="","",IF(WEEKDAY($A199,2)&lt;&gt;7,"",IF(AND(OR(Q199="",N(Q199)&gt;=$A199+16/24,N(R199)&lt;=$A199+6/24),OR(S199="",N(S199)&lt;=$A199+6/24)),1,0)))</f>
        <v/>
      </c>
      <c r="X199" s="26" t="str">
        <f aca="false">IF($A199="","",IF(INDEX(Muster!$C$8:$BF$8,1,MOD($A199-Einstellungen!$C$6,Einstellungen!$C$7)+1)="","-",INDEX(Muster!$C$8:$BF$8,1,MOD($A199-Einstellungen!$C$6,Einstellungen!$C$7)+1)))</f>
        <v>S</v>
      </c>
      <c r="Y199" s="27" t="n">
        <f aca="false">IF($A199="","",IFERROR(VLOOKUP(X199,Schichten!$A$5:$G$24,6,FALSE()),0))</f>
        <v>8</v>
      </c>
      <c r="Z199" s="27" t="n">
        <f aca="false">IF($A199="","",IFERROR(VLOOKUP(X199,Schichten!$A$5:$G$24,7,FALSE()),0))</f>
        <v>0</v>
      </c>
      <c r="AA199" s="28" t="n">
        <f aca="false">IF($A199="","",IF(N(Y199)=0,"",$A199+VLOOKUP(X199,Schichten!$A$5:$G$24,3,FALSE())))</f>
        <v>46582.5833333333</v>
      </c>
      <c r="AB199" s="28" t="n">
        <f aca="false">IF(AA199="","",$A199+VLOOKUP(X199,Schichten!$A$5:$G$24,4,FALSE())+IF(VLOOKUP(X199,Schichten!$A$5:$G$24,4,FALSE())&lt;=VLOOKUP(X199,Schichten!$A$5:$G$24,3,FALSE()),1,0))</f>
        <v>46582.9166666667</v>
      </c>
      <c r="AC199" s="28" t="n">
        <f aca="false">IF($A199="","",IF(N(Y198)&gt;0,AB198,AC198))</f>
        <v>46581.9166666667</v>
      </c>
      <c r="AD199" s="27" t="n">
        <f aca="false">IF(OR(AA199="",AC199=""),"",(AA199-AC199)*24)</f>
        <v>16</v>
      </c>
      <c r="AE199" s="21" t="n">
        <f aca="false">IF($A199="","",IF(N(Y199)&gt;0,N(AE198)+1,0))</f>
        <v>4</v>
      </c>
      <c r="AF199" s="21" t="n">
        <f aca="false">IF($A199="","",IF(N(Z199)&gt;0,N(AF198)+1,0))</f>
        <v>0</v>
      </c>
      <c r="AG199" s="21" t="str">
        <f aca="false">IF($A199="","",IF(WEEKDAY($A199,2)&lt;&gt;7,"",IF(AND(OR(AA199="",N(AA199)&gt;=$A199+16/24,N(AB199)&lt;=$A199+6/24),OR(AC199="",N(AC199)&lt;=$A199+6/24)),1,0)))</f>
        <v/>
      </c>
      <c r="AH199" s="26" t="str">
        <f aca="false">IF($A199="","",IF(INDEX(Muster!$C$9:$BF$9,1,MOD($A199-Einstellungen!$C$6,Einstellungen!$C$7)+1)="","-",INDEX(Muster!$C$9:$BF$9,1,MOD($A199-Einstellungen!$C$6,Einstellungen!$C$7)+1)))</f>
        <v>F</v>
      </c>
      <c r="AI199" s="27" t="n">
        <f aca="false">IF($A199="","",IFERROR(VLOOKUP(AH199,Schichten!$A$5:$G$24,6,FALSE()),0))</f>
        <v>8</v>
      </c>
      <c r="AJ199" s="27" t="n">
        <f aca="false">IF($A199="","",IFERROR(VLOOKUP(AH199,Schichten!$A$5:$G$24,7,FALSE()),0))</f>
        <v>0</v>
      </c>
      <c r="AK199" s="28" t="n">
        <f aca="false">IF($A199="","",IF(N(AI199)=0,"",$A199+VLOOKUP(AH199,Schichten!$A$5:$G$24,3,FALSE())))</f>
        <v>46582.25</v>
      </c>
      <c r="AL199" s="28" t="n">
        <f aca="false">IF(AK199="","",$A199+VLOOKUP(AH199,Schichten!$A$5:$G$24,4,FALSE())+IF(VLOOKUP(AH199,Schichten!$A$5:$G$24,4,FALSE())&lt;=VLOOKUP(AH199,Schichten!$A$5:$G$24,3,FALSE()),1,0))</f>
        <v>46582.5833333333</v>
      </c>
      <c r="AM199" s="28" t="n">
        <f aca="false">IF($A199="","",IF(N(AI198)&gt;0,AL198,AM198))</f>
        <v>46581.5833333333</v>
      </c>
      <c r="AN199" s="27" t="n">
        <f aca="false">IF(OR(AK199="",AM199=""),"",(AK199-AM199)*24)</f>
        <v>16</v>
      </c>
      <c r="AO199" s="21" t="n">
        <f aca="false">IF($A199="","",IF(N(AI199)&gt;0,N(AO198)+1,0))</f>
        <v>2</v>
      </c>
      <c r="AP199" s="21" t="n">
        <f aca="false">IF($A199="","",IF(N(AJ199)&gt;0,N(AP198)+1,0))</f>
        <v>0</v>
      </c>
      <c r="AQ199" s="21" t="str">
        <f aca="false">IF($A199="","",IF(WEEKDAY($A199,2)&lt;&gt;7,"",IF(AND(OR(AK199="",N(AK199)&gt;=$A199+16/24,N(AL199)&lt;=$A199+6/24),OR(AM199="",N(AM199)&lt;=$A199+6/24)),1,0)))</f>
        <v/>
      </c>
      <c r="AR199" s="26" t="str">
        <f aca="false">IF($A199="","",IF(INDEX(Muster!$C$10:$BF$10,1,MOD($A199-Einstellungen!$C$6,Einstellungen!$C$7)+1)="","-",INDEX(Muster!$C$10:$BF$10,1,MOD($A199-Einstellungen!$C$6,Einstellungen!$C$7)+1)))</f>
        <v>-</v>
      </c>
      <c r="AS199" s="27" t="n">
        <f aca="false">IF($A199="","",IFERROR(VLOOKUP(AR199,Schichten!$A$5:$G$24,6,FALSE()),0))</f>
        <v>0</v>
      </c>
      <c r="AT199" s="27" t="n">
        <f aca="false">IF($A199="","",IFERROR(VLOOKUP(AR199,Schichten!$A$5:$G$24,7,FALSE()),0))</f>
        <v>0</v>
      </c>
      <c r="AU199" s="28" t="str">
        <f aca="false">IF($A199="","",IF(N(AS199)=0,"",$A199+VLOOKUP(AR199,Schichten!$A$5:$G$24,3,FALSE())))</f>
        <v/>
      </c>
      <c r="AV199" s="28" t="str">
        <f aca="false">IF(AU199="","",$A199+VLOOKUP(AR199,Schichten!$A$5:$G$24,4,FALSE())+IF(VLOOKUP(AR199,Schichten!$A$5:$G$24,4,FALSE())&lt;=VLOOKUP(AR199,Schichten!$A$5:$G$24,3,FALSE()),1,0))</f>
        <v/>
      </c>
      <c r="AW199" s="28" t="str">
        <f aca="false">IF($A199="","",IF(N(AS198)&gt;0,AV198,AW198))</f>
        <v/>
      </c>
      <c r="AX199" s="27" t="str">
        <f aca="false">IF(OR(AU199="",AW199=""),"",(AU199-AW199)*24)</f>
        <v/>
      </c>
      <c r="AY199" s="21" t="n">
        <f aca="false">IF($A199="","",IF(N(AS199)&gt;0,N(AY198)+1,0))</f>
        <v>0</v>
      </c>
      <c r="AZ199" s="21" t="n">
        <f aca="false">IF($A199="","",IF(N(AT199)&gt;0,N(AZ198)+1,0))</f>
        <v>0</v>
      </c>
      <c r="BA199" s="21" t="str">
        <f aca="false">IF($A199="","",IF(WEEKDAY($A199,2)&lt;&gt;7,"",IF(AND(OR(AU199="",N(AU199)&gt;=$A199+16/24,N(AV199)&lt;=$A199+6/24),OR(AW199="",N(AW199)&lt;=$A199+6/24)),1,0)))</f>
        <v/>
      </c>
    </row>
    <row r="200" customFormat="false" ht="15" hidden="false" customHeight="false" outlineLevel="0" collapsed="false">
      <c r="A200" s="25" t="n">
        <f aca="false">IF(YEAR(DATE(Einstellungen!$C$4,1,1)+195)=Einstellungen!$C$4,DATE(Einstellungen!$C$4,1,1)+195,"")</f>
        <v>46583</v>
      </c>
      <c r="B200" s="26" t="str">
        <f aca="false">IF($A200="","",CHOOSE(WEEKDAY($A200,2),"Mo","Di","Mi","Do","Fr","Sa","So"))</f>
        <v>Do</v>
      </c>
      <c r="C200" s="26" t="n">
        <f aca="false">IF($A200="","",MONTH($A200))</f>
        <v>7</v>
      </c>
      <c r="D200" s="26" t="str">
        <f aca="false">IF($A200="","",IF(INDEX(Muster!$C$6:$BF$6,1,MOD($A200-Einstellungen!$C$6,Einstellungen!$C$7)+1)="","-",INDEX(Muster!$C$6:$BF$6,1,MOD($A200-Einstellungen!$C$6,Einstellungen!$C$7)+1)))</f>
        <v>F</v>
      </c>
      <c r="E200" s="27" t="n">
        <f aca="false">IF($A200="","",IFERROR(VLOOKUP(D200,Schichten!$A$5:$G$24,6,FALSE()),0))</f>
        <v>8</v>
      </c>
      <c r="F200" s="27" t="n">
        <f aca="false">IF($A200="","",IFERROR(VLOOKUP(D200,Schichten!$A$5:$G$24,7,FALSE()),0))</f>
        <v>0</v>
      </c>
      <c r="G200" s="28" t="n">
        <f aca="false">IF($A200="","",IF(N(E200)=0,"",$A200+VLOOKUP(D200,Schichten!$A$5:$G$24,3,FALSE())))</f>
        <v>46583.25</v>
      </c>
      <c r="H200" s="28" t="n">
        <f aca="false">IF(G200="","",$A200+VLOOKUP(D200,Schichten!$A$5:$G$24,4,FALSE())+IF(VLOOKUP(D200,Schichten!$A$5:$G$24,4,FALSE())&lt;=VLOOKUP(D200,Schichten!$A$5:$G$24,3,FALSE()),1,0))</f>
        <v>46583.5833333333</v>
      </c>
      <c r="I200" s="28" t="n">
        <f aca="false">IF($A200="","",IF(N(E199)&gt;0,H199,I199))</f>
        <v>46581.25</v>
      </c>
      <c r="J200" s="27" t="n">
        <f aca="false">IF(OR(G200="",I200=""),"",(G200-I200)*24)</f>
        <v>48</v>
      </c>
      <c r="K200" s="21" t="n">
        <f aca="false">IF($A200="","",IF(N(E200)&gt;0,N(K199)+1,0))</f>
        <v>1</v>
      </c>
      <c r="L200" s="21" t="n">
        <f aca="false">IF($A200="","",IF(N(F200)&gt;0,N(L199)+1,0))</f>
        <v>0</v>
      </c>
      <c r="M200" s="21" t="str">
        <f aca="false">IF($A200="","",IF(WEEKDAY($A200,2)&lt;&gt;7,"",IF(AND(OR(G200="",N(G200)&gt;=$A200+16/24,N(H200)&lt;=$A200+6/24),OR(I200="",N(I200)&lt;=$A200+6/24)),1,0)))</f>
        <v/>
      </c>
      <c r="N200" s="26" t="str">
        <f aca="false">IF($A200="","",IF(INDEX(Muster!$C$7:$BF$7,1,MOD($A200-Einstellungen!$C$6,Einstellungen!$C$7)+1)="","-",INDEX(Muster!$C$7:$BF$7,1,MOD($A200-Einstellungen!$C$6,Einstellungen!$C$7)+1)))</f>
        <v>-</v>
      </c>
      <c r="O200" s="27" t="n">
        <f aca="false">IF($A200="","",IFERROR(VLOOKUP(N200,Schichten!$A$5:$G$24,6,FALSE()),0))</f>
        <v>0</v>
      </c>
      <c r="P200" s="27" t="n">
        <f aca="false">IF($A200="","",IFERROR(VLOOKUP(N200,Schichten!$A$5:$G$24,7,FALSE()),0))</f>
        <v>0</v>
      </c>
      <c r="Q200" s="28" t="str">
        <f aca="false">IF($A200="","",IF(N(O200)=0,"",$A200+VLOOKUP(N200,Schichten!$A$5:$G$24,3,FALSE())))</f>
        <v/>
      </c>
      <c r="R200" s="28" t="str">
        <f aca="false">IF(Q200="","",$A200+VLOOKUP(N200,Schichten!$A$5:$G$24,4,FALSE())+IF(VLOOKUP(N200,Schichten!$A$5:$G$24,4,FALSE())&lt;=VLOOKUP(N200,Schichten!$A$5:$G$24,3,FALSE()),1,0))</f>
        <v/>
      </c>
      <c r="S200" s="28" t="n">
        <f aca="false">IF($A200="","",IF(N(O199)&gt;0,R199,S199))</f>
        <v>46583.25</v>
      </c>
      <c r="T200" s="27" t="str">
        <f aca="false">IF(OR(Q200="",S200=""),"",(Q200-S200)*24)</f>
        <v/>
      </c>
      <c r="U200" s="21" t="n">
        <f aca="false">IF($A200="","",IF(N(O200)&gt;0,N(U199)+1,0))</f>
        <v>0</v>
      </c>
      <c r="V200" s="21" t="n">
        <f aca="false">IF($A200="","",IF(N(P200)&gt;0,N(V199)+1,0))</f>
        <v>0</v>
      </c>
      <c r="W200" s="21" t="str">
        <f aca="false">IF($A200="","",IF(WEEKDAY($A200,2)&lt;&gt;7,"",IF(AND(OR(Q200="",N(Q200)&gt;=$A200+16/24,N(R200)&lt;=$A200+6/24),OR(S200="",N(S200)&lt;=$A200+6/24)),1,0)))</f>
        <v/>
      </c>
      <c r="X200" s="26" t="str">
        <f aca="false">IF($A200="","",IF(INDEX(Muster!$C$8:$BF$8,1,MOD($A200-Einstellungen!$C$6,Einstellungen!$C$7)+1)="","-",INDEX(Muster!$C$8:$BF$8,1,MOD($A200-Einstellungen!$C$6,Einstellungen!$C$7)+1)))</f>
        <v>N</v>
      </c>
      <c r="Y200" s="27" t="n">
        <f aca="false">IF($A200="","",IFERROR(VLOOKUP(X200,Schichten!$A$5:$G$24,6,FALSE()),0))</f>
        <v>8</v>
      </c>
      <c r="Z200" s="27" t="n">
        <f aca="false">IF($A200="","",IFERROR(VLOOKUP(X200,Schichten!$A$5:$G$24,7,FALSE()),0))</f>
        <v>7</v>
      </c>
      <c r="AA200" s="28" t="n">
        <f aca="false">IF($A200="","",IF(N(Y200)=0,"",$A200+VLOOKUP(X200,Schichten!$A$5:$G$24,3,FALSE())))</f>
        <v>46583.9166666667</v>
      </c>
      <c r="AB200" s="28" t="n">
        <f aca="false">IF(AA200="","",$A200+VLOOKUP(X200,Schichten!$A$5:$G$24,4,FALSE())+IF(VLOOKUP(X200,Schichten!$A$5:$G$24,4,FALSE())&lt;=VLOOKUP(X200,Schichten!$A$5:$G$24,3,FALSE()),1,0))</f>
        <v>46584.25</v>
      </c>
      <c r="AC200" s="28" t="n">
        <f aca="false">IF($A200="","",IF(N(Y199)&gt;0,AB199,AC199))</f>
        <v>46582.9166666667</v>
      </c>
      <c r="AD200" s="27" t="n">
        <f aca="false">IF(OR(AA200="",AC200=""),"",(AA200-AC200)*24)</f>
        <v>24</v>
      </c>
      <c r="AE200" s="21" t="n">
        <f aca="false">IF($A200="","",IF(N(Y200)&gt;0,N(AE199)+1,0))</f>
        <v>5</v>
      </c>
      <c r="AF200" s="21" t="n">
        <f aca="false">IF($A200="","",IF(N(Z200)&gt;0,N(AF199)+1,0))</f>
        <v>1</v>
      </c>
      <c r="AG200" s="21" t="str">
        <f aca="false">IF($A200="","",IF(WEEKDAY($A200,2)&lt;&gt;7,"",IF(AND(OR(AA200="",N(AA200)&gt;=$A200+16/24,N(AB200)&lt;=$A200+6/24),OR(AC200="",N(AC200)&lt;=$A200+6/24)),1,0)))</f>
        <v/>
      </c>
      <c r="AH200" s="26" t="str">
        <f aca="false">IF($A200="","",IF(INDEX(Muster!$C$9:$BF$9,1,MOD($A200-Einstellungen!$C$6,Einstellungen!$C$7)+1)="","-",INDEX(Muster!$C$9:$BF$9,1,MOD($A200-Einstellungen!$C$6,Einstellungen!$C$7)+1)))</f>
        <v>S</v>
      </c>
      <c r="AI200" s="27" t="n">
        <f aca="false">IF($A200="","",IFERROR(VLOOKUP(AH200,Schichten!$A$5:$G$24,6,FALSE()),0))</f>
        <v>8</v>
      </c>
      <c r="AJ200" s="27" t="n">
        <f aca="false">IF($A200="","",IFERROR(VLOOKUP(AH200,Schichten!$A$5:$G$24,7,FALSE()),0))</f>
        <v>0</v>
      </c>
      <c r="AK200" s="28" t="n">
        <f aca="false">IF($A200="","",IF(N(AI200)=0,"",$A200+VLOOKUP(AH200,Schichten!$A$5:$G$24,3,FALSE())))</f>
        <v>46583.5833333333</v>
      </c>
      <c r="AL200" s="28" t="n">
        <f aca="false">IF(AK200="","",$A200+VLOOKUP(AH200,Schichten!$A$5:$G$24,4,FALSE())+IF(VLOOKUP(AH200,Schichten!$A$5:$G$24,4,FALSE())&lt;=VLOOKUP(AH200,Schichten!$A$5:$G$24,3,FALSE()),1,0))</f>
        <v>46583.9166666667</v>
      </c>
      <c r="AM200" s="28" t="n">
        <f aca="false">IF($A200="","",IF(N(AI199)&gt;0,AL199,AM199))</f>
        <v>46582.5833333333</v>
      </c>
      <c r="AN200" s="27" t="n">
        <f aca="false">IF(OR(AK200="",AM200=""),"",(AK200-AM200)*24)</f>
        <v>24</v>
      </c>
      <c r="AO200" s="21" t="n">
        <f aca="false">IF($A200="","",IF(N(AI200)&gt;0,N(AO199)+1,0))</f>
        <v>3</v>
      </c>
      <c r="AP200" s="21" t="n">
        <f aca="false">IF($A200="","",IF(N(AJ200)&gt;0,N(AP199)+1,0))</f>
        <v>0</v>
      </c>
      <c r="AQ200" s="21" t="str">
        <f aca="false">IF($A200="","",IF(WEEKDAY($A200,2)&lt;&gt;7,"",IF(AND(OR(AK200="",N(AK200)&gt;=$A200+16/24,N(AL200)&lt;=$A200+6/24),OR(AM200="",N(AM200)&lt;=$A200+6/24)),1,0)))</f>
        <v/>
      </c>
      <c r="AR200" s="26" t="str">
        <f aca="false">IF($A200="","",IF(INDEX(Muster!$C$10:$BF$10,1,MOD($A200-Einstellungen!$C$6,Einstellungen!$C$7)+1)="","-",INDEX(Muster!$C$10:$BF$10,1,MOD($A200-Einstellungen!$C$6,Einstellungen!$C$7)+1)))</f>
        <v>-</v>
      </c>
      <c r="AS200" s="27" t="n">
        <f aca="false">IF($A200="","",IFERROR(VLOOKUP(AR200,Schichten!$A$5:$G$24,6,FALSE()),0))</f>
        <v>0</v>
      </c>
      <c r="AT200" s="27" t="n">
        <f aca="false">IF($A200="","",IFERROR(VLOOKUP(AR200,Schichten!$A$5:$G$24,7,FALSE()),0))</f>
        <v>0</v>
      </c>
      <c r="AU200" s="28" t="str">
        <f aca="false">IF($A200="","",IF(N(AS200)=0,"",$A200+VLOOKUP(AR200,Schichten!$A$5:$G$24,3,FALSE())))</f>
        <v/>
      </c>
      <c r="AV200" s="28" t="str">
        <f aca="false">IF(AU200="","",$A200+VLOOKUP(AR200,Schichten!$A$5:$G$24,4,FALSE())+IF(VLOOKUP(AR200,Schichten!$A$5:$G$24,4,FALSE())&lt;=VLOOKUP(AR200,Schichten!$A$5:$G$24,3,FALSE()),1,0))</f>
        <v/>
      </c>
      <c r="AW200" s="28" t="str">
        <f aca="false">IF($A200="","",IF(N(AS199)&gt;0,AV199,AW199))</f>
        <v/>
      </c>
      <c r="AX200" s="27" t="str">
        <f aca="false">IF(OR(AU200="",AW200=""),"",(AU200-AW200)*24)</f>
        <v/>
      </c>
      <c r="AY200" s="21" t="n">
        <f aca="false">IF($A200="","",IF(N(AS200)&gt;0,N(AY199)+1,0))</f>
        <v>0</v>
      </c>
      <c r="AZ200" s="21" t="n">
        <f aca="false">IF($A200="","",IF(N(AT200)&gt;0,N(AZ199)+1,0))</f>
        <v>0</v>
      </c>
      <c r="BA200" s="21" t="str">
        <f aca="false">IF($A200="","",IF(WEEKDAY($A200,2)&lt;&gt;7,"",IF(AND(OR(AU200="",N(AU200)&gt;=$A200+16/24,N(AV200)&lt;=$A200+6/24),OR(AW200="",N(AW200)&lt;=$A200+6/24)),1,0)))</f>
        <v/>
      </c>
    </row>
    <row r="201" customFormat="false" ht="15" hidden="false" customHeight="false" outlineLevel="0" collapsed="false">
      <c r="A201" s="25" t="n">
        <f aca="false">IF(YEAR(DATE(Einstellungen!$C$4,1,1)+196)=Einstellungen!$C$4,DATE(Einstellungen!$C$4,1,1)+196,"")</f>
        <v>46584</v>
      </c>
      <c r="B201" s="26" t="str">
        <f aca="false">IF($A201="","",CHOOSE(WEEKDAY($A201,2),"Mo","Di","Mi","Do","Fr","Sa","So"))</f>
        <v>Fr</v>
      </c>
      <c r="C201" s="26" t="n">
        <f aca="false">IF($A201="","",MONTH($A201))</f>
        <v>7</v>
      </c>
      <c r="D201" s="26" t="str">
        <f aca="false">IF($A201="","",IF(INDEX(Muster!$C$6:$BF$6,1,MOD($A201-Einstellungen!$C$6,Einstellungen!$C$7)+1)="","-",INDEX(Muster!$C$6:$BF$6,1,MOD($A201-Einstellungen!$C$6,Einstellungen!$C$7)+1)))</f>
        <v>F</v>
      </c>
      <c r="E201" s="27" t="n">
        <f aca="false">IF($A201="","",IFERROR(VLOOKUP(D201,Schichten!$A$5:$G$24,6,FALSE()),0))</f>
        <v>8</v>
      </c>
      <c r="F201" s="27" t="n">
        <f aca="false">IF($A201="","",IFERROR(VLOOKUP(D201,Schichten!$A$5:$G$24,7,FALSE()),0))</f>
        <v>0</v>
      </c>
      <c r="G201" s="28" t="n">
        <f aca="false">IF($A201="","",IF(N(E201)=0,"",$A201+VLOOKUP(D201,Schichten!$A$5:$G$24,3,FALSE())))</f>
        <v>46584.25</v>
      </c>
      <c r="H201" s="28" t="n">
        <f aca="false">IF(G201="","",$A201+VLOOKUP(D201,Schichten!$A$5:$G$24,4,FALSE())+IF(VLOOKUP(D201,Schichten!$A$5:$G$24,4,FALSE())&lt;=VLOOKUP(D201,Schichten!$A$5:$G$24,3,FALSE()),1,0))</f>
        <v>46584.5833333333</v>
      </c>
      <c r="I201" s="28" t="n">
        <f aca="false">IF($A201="","",IF(N(E200)&gt;0,H200,I200))</f>
        <v>46583.5833333333</v>
      </c>
      <c r="J201" s="27" t="n">
        <f aca="false">IF(OR(G201="",I201=""),"",(G201-I201)*24)</f>
        <v>16</v>
      </c>
      <c r="K201" s="21" t="n">
        <f aca="false">IF($A201="","",IF(N(E201)&gt;0,N(K200)+1,0))</f>
        <v>2</v>
      </c>
      <c r="L201" s="21" t="n">
        <f aca="false">IF($A201="","",IF(N(F201)&gt;0,N(L200)+1,0))</f>
        <v>0</v>
      </c>
      <c r="M201" s="21" t="str">
        <f aca="false">IF($A201="","",IF(WEEKDAY($A201,2)&lt;&gt;7,"",IF(AND(OR(G201="",N(G201)&gt;=$A201+16/24,N(H201)&lt;=$A201+6/24),OR(I201="",N(I201)&lt;=$A201+6/24)),1,0)))</f>
        <v/>
      </c>
      <c r="N201" s="26" t="str">
        <f aca="false">IF($A201="","",IF(INDEX(Muster!$C$7:$BF$7,1,MOD($A201-Einstellungen!$C$6,Einstellungen!$C$7)+1)="","-",INDEX(Muster!$C$7:$BF$7,1,MOD($A201-Einstellungen!$C$6,Einstellungen!$C$7)+1)))</f>
        <v>-</v>
      </c>
      <c r="O201" s="27" t="n">
        <f aca="false">IF($A201="","",IFERROR(VLOOKUP(N201,Schichten!$A$5:$G$24,6,FALSE()),0))</f>
        <v>0</v>
      </c>
      <c r="P201" s="27" t="n">
        <f aca="false">IF($A201="","",IFERROR(VLOOKUP(N201,Schichten!$A$5:$G$24,7,FALSE()),0))</f>
        <v>0</v>
      </c>
      <c r="Q201" s="28" t="str">
        <f aca="false">IF($A201="","",IF(N(O201)=0,"",$A201+VLOOKUP(N201,Schichten!$A$5:$G$24,3,FALSE())))</f>
        <v/>
      </c>
      <c r="R201" s="28" t="str">
        <f aca="false">IF(Q201="","",$A201+VLOOKUP(N201,Schichten!$A$5:$G$24,4,FALSE())+IF(VLOOKUP(N201,Schichten!$A$5:$G$24,4,FALSE())&lt;=VLOOKUP(N201,Schichten!$A$5:$G$24,3,FALSE()),1,0))</f>
        <v/>
      </c>
      <c r="S201" s="28" t="n">
        <f aca="false">IF($A201="","",IF(N(O200)&gt;0,R200,S200))</f>
        <v>46583.25</v>
      </c>
      <c r="T201" s="27" t="str">
        <f aca="false">IF(OR(Q201="",S201=""),"",(Q201-S201)*24)</f>
        <v/>
      </c>
      <c r="U201" s="21" t="n">
        <f aca="false">IF($A201="","",IF(N(O201)&gt;0,N(U200)+1,0))</f>
        <v>0</v>
      </c>
      <c r="V201" s="21" t="n">
        <f aca="false">IF($A201="","",IF(N(P201)&gt;0,N(V200)+1,0))</f>
        <v>0</v>
      </c>
      <c r="W201" s="21" t="str">
        <f aca="false">IF($A201="","",IF(WEEKDAY($A201,2)&lt;&gt;7,"",IF(AND(OR(Q201="",N(Q201)&gt;=$A201+16/24,N(R201)&lt;=$A201+6/24),OR(S201="",N(S201)&lt;=$A201+6/24)),1,0)))</f>
        <v/>
      </c>
      <c r="X201" s="26" t="str">
        <f aca="false">IF($A201="","",IF(INDEX(Muster!$C$8:$BF$8,1,MOD($A201-Einstellungen!$C$6,Einstellungen!$C$7)+1)="","-",INDEX(Muster!$C$8:$BF$8,1,MOD($A201-Einstellungen!$C$6,Einstellungen!$C$7)+1)))</f>
        <v>N</v>
      </c>
      <c r="Y201" s="27" t="n">
        <f aca="false">IF($A201="","",IFERROR(VLOOKUP(X201,Schichten!$A$5:$G$24,6,FALSE()),0))</f>
        <v>8</v>
      </c>
      <c r="Z201" s="27" t="n">
        <f aca="false">IF($A201="","",IFERROR(VLOOKUP(X201,Schichten!$A$5:$G$24,7,FALSE()),0))</f>
        <v>7</v>
      </c>
      <c r="AA201" s="28" t="n">
        <f aca="false">IF($A201="","",IF(N(Y201)=0,"",$A201+VLOOKUP(X201,Schichten!$A$5:$G$24,3,FALSE())))</f>
        <v>46584.9166666667</v>
      </c>
      <c r="AB201" s="28" t="n">
        <f aca="false">IF(AA201="","",$A201+VLOOKUP(X201,Schichten!$A$5:$G$24,4,FALSE())+IF(VLOOKUP(X201,Schichten!$A$5:$G$24,4,FALSE())&lt;=VLOOKUP(X201,Schichten!$A$5:$G$24,3,FALSE()),1,0))</f>
        <v>46585.25</v>
      </c>
      <c r="AC201" s="28" t="n">
        <f aca="false">IF($A201="","",IF(N(Y200)&gt;0,AB200,AC200))</f>
        <v>46584.25</v>
      </c>
      <c r="AD201" s="27" t="n">
        <f aca="false">IF(OR(AA201="",AC201=""),"",(AA201-AC201)*24)</f>
        <v>16</v>
      </c>
      <c r="AE201" s="21" t="n">
        <f aca="false">IF($A201="","",IF(N(Y201)&gt;0,N(AE200)+1,0))</f>
        <v>6</v>
      </c>
      <c r="AF201" s="21" t="n">
        <f aca="false">IF($A201="","",IF(N(Z201)&gt;0,N(AF200)+1,0))</f>
        <v>2</v>
      </c>
      <c r="AG201" s="21" t="str">
        <f aca="false">IF($A201="","",IF(WEEKDAY($A201,2)&lt;&gt;7,"",IF(AND(OR(AA201="",N(AA201)&gt;=$A201+16/24,N(AB201)&lt;=$A201+6/24),OR(AC201="",N(AC201)&lt;=$A201+6/24)),1,0)))</f>
        <v/>
      </c>
      <c r="AH201" s="26" t="str">
        <f aca="false">IF($A201="","",IF(INDEX(Muster!$C$9:$BF$9,1,MOD($A201-Einstellungen!$C$6,Einstellungen!$C$7)+1)="","-",INDEX(Muster!$C$9:$BF$9,1,MOD($A201-Einstellungen!$C$6,Einstellungen!$C$7)+1)))</f>
        <v>S</v>
      </c>
      <c r="AI201" s="27" t="n">
        <f aca="false">IF($A201="","",IFERROR(VLOOKUP(AH201,Schichten!$A$5:$G$24,6,FALSE()),0))</f>
        <v>8</v>
      </c>
      <c r="AJ201" s="27" t="n">
        <f aca="false">IF($A201="","",IFERROR(VLOOKUP(AH201,Schichten!$A$5:$G$24,7,FALSE()),0))</f>
        <v>0</v>
      </c>
      <c r="AK201" s="28" t="n">
        <f aca="false">IF($A201="","",IF(N(AI201)=0,"",$A201+VLOOKUP(AH201,Schichten!$A$5:$G$24,3,FALSE())))</f>
        <v>46584.5833333333</v>
      </c>
      <c r="AL201" s="28" t="n">
        <f aca="false">IF(AK201="","",$A201+VLOOKUP(AH201,Schichten!$A$5:$G$24,4,FALSE())+IF(VLOOKUP(AH201,Schichten!$A$5:$G$24,4,FALSE())&lt;=VLOOKUP(AH201,Schichten!$A$5:$G$24,3,FALSE()),1,0))</f>
        <v>46584.9166666667</v>
      </c>
      <c r="AM201" s="28" t="n">
        <f aca="false">IF($A201="","",IF(N(AI200)&gt;0,AL200,AM200))</f>
        <v>46583.9166666667</v>
      </c>
      <c r="AN201" s="27" t="n">
        <f aca="false">IF(OR(AK201="",AM201=""),"",(AK201-AM201)*24)</f>
        <v>16</v>
      </c>
      <c r="AO201" s="21" t="n">
        <f aca="false">IF($A201="","",IF(N(AI201)&gt;0,N(AO200)+1,0))</f>
        <v>4</v>
      </c>
      <c r="AP201" s="21" t="n">
        <f aca="false">IF($A201="","",IF(N(AJ201)&gt;0,N(AP200)+1,0))</f>
        <v>0</v>
      </c>
      <c r="AQ201" s="21" t="str">
        <f aca="false">IF($A201="","",IF(WEEKDAY($A201,2)&lt;&gt;7,"",IF(AND(OR(AK201="",N(AK201)&gt;=$A201+16/24,N(AL201)&lt;=$A201+6/24),OR(AM201="",N(AM201)&lt;=$A201+6/24)),1,0)))</f>
        <v/>
      </c>
      <c r="AR201" s="26" t="str">
        <f aca="false">IF($A201="","",IF(INDEX(Muster!$C$10:$BF$10,1,MOD($A201-Einstellungen!$C$6,Einstellungen!$C$7)+1)="","-",INDEX(Muster!$C$10:$BF$10,1,MOD($A201-Einstellungen!$C$6,Einstellungen!$C$7)+1)))</f>
        <v>-</v>
      </c>
      <c r="AS201" s="27" t="n">
        <f aca="false">IF($A201="","",IFERROR(VLOOKUP(AR201,Schichten!$A$5:$G$24,6,FALSE()),0))</f>
        <v>0</v>
      </c>
      <c r="AT201" s="27" t="n">
        <f aca="false">IF($A201="","",IFERROR(VLOOKUP(AR201,Schichten!$A$5:$G$24,7,FALSE()),0))</f>
        <v>0</v>
      </c>
      <c r="AU201" s="28" t="str">
        <f aca="false">IF($A201="","",IF(N(AS201)=0,"",$A201+VLOOKUP(AR201,Schichten!$A$5:$G$24,3,FALSE())))</f>
        <v/>
      </c>
      <c r="AV201" s="28" t="str">
        <f aca="false">IF(AU201="","",$A201+VLOOKUP(AR201,Schichten!$A$5:$G$24,4,FALSE())+IF(VLOOKUP(AR201,Schichten!$A$5:$G$24,4,FALSE())&lt;=VLOOKUP(AR201,Schichten!$A$5:$G$24,3,FALSE()),1,0))</f>
        <v/>
      </c>
      <c r="AW201" s="28" t="str">
        <f aca="false">IF($A201="","",IF(N(AS200)&gt;0,AV200,AW200))</f>
        <v/>
      </c>
      <c r="AX201" s="27" t="str">
        <f aca="false">IF(OR(AU201="",AW201=""),"",(AU201-AW201)*24)</f>
        <v/>
      </c>
      <c r="AY201" s="21" t="n">
        <f aca="false">IF($A201="","",IF(N(AS201)&gt;0,N(AY200)+1,0))</f>
        <v>0</v>
      </c>
      <c r="AZ201" s="21" t="n">
        <f aca="false">IF($A201="","",IF(N(AT201)&gt;0,N(AZ200)+1,0))</f>
        <v>0</v>
      </c>
      <c r="BA201" s="21" t="str">
        <f aca="false">IF($A201="","",IF(WEEKDAY($A201,2)&lt;&gt;7,"",IF(AND(OR(AU201="",N(AU201)&gt;=$A201+16/24,N(AV201)&lt;=$A201+6/24),OR(AW201="",N(AW201)&lt;=$A201+6/24)),1,0)))</f>
        <v/>
      </c>
    </row>
    <row r="202" customFormat="false" ht="15" hidden="false" customHeight="false" outlineLevel="0" collapsed="false">
      <c r="A202" s="25" t="n">
        <f aca="false">IF(YEAR(DATE(Einstellungen!$C$4,1,1)+197)=Einstellungen!$C$4,DATE(Einstellungen!$C$4,1,1)+197,"")</f>
        <v>46585</v>
      </c>
      <c r="B202" s="26" t="str">
        <f aca="false">IF($A202="","",CHOOSE(WEEKDAY($A202,2),"Mo","Di","Mi","Do","Fr","Sa","So"))</f>
        <v>Sa</v>
      </c>
      <c r="C202" s="26" t="n">
        <f aca="false">IF($A202="","",MONTH($A202))</f>
        <v>7</v>
      </c>
      <c r="D202" s="26" t="str">
        <f aca="false">IF($A202="","",IF(INDEX(Muster!$C$6:$BF$6,1,MOD($A202-Einstellungen!$C$6,Einstellungen!$C$7)+1)="","-",INDEX(Muster!$C$6:$BF$6,1,MOD($A202-Einstellungen!$C$6,Einstellungen!$C$7)+1)))</f>
        <v>S</v>
      </c>
      <c r="E202" s="27" t="n">
        <f aca="false">IF($A202="","",IFERROR(VLOOKUP(D202,Schichten!$A$5:$G$24,6,FALSE()),0))</f>
        <v>8</v>
      </c>
      <c r="F202" s="27" t="n">
        <f aca="false">IF($A202="","",IFERROR(VLOOKUP(D202,Schichten!$A$5:$G$24,7,FALSE()),0))</f>
        <v>0</v>
      </c>
      <c r="G202" s="28" t="n">
        <f aca="false">IF($A202="","",IF(N(E202)=0,"",$A202+VLOOKUP(D202,Schichten!$A$5:$G$24,3,FALSE())))</f>
        <v>46585.5833333333</v>
      </c>
      <c r="H202" s="28" t="n">
        <f aca="false">IF(G202="","",$A202+VLOOKUP(D202,Schichten!$A$5:$G$24,4,FALSE())+IF(VLOOKUP(D202,Schichten!$A$5:$G$24,4,FALSE())&lt;=VLOOKUP(D202,Schichten!$A$5:$G$24,3,FALSE()),1,0))</f>
        <v>46585.9166666667</v>
      </c>
      <c r="I202" s="28" t="n">
        <f aca="false">IF($A202="","",IF(N(E201)&gt;0,H201,I201))</f>
        <v>46584.5833333333</v>
      </c>
      <c r="J202" s="27" t="n">
        <f aca="false">IF(OR(G202="",I202=""),"",(G202-I202)*24)</f>
        <v>24</v>
      </c>
      <c r="K202" s="21" t="n">
        <f aca="false">IF($A202="","",IF(N(E202)&gt;0,N(K201)+1,0))</f>
        <v>3</v>
      </c>
      <c r="L202" s="21" t="n">
        <f aca="false">IF($A202="","",IF(N(F202)&gt;0,N(L201)+1,0))</f>
        <v>0</v>
      </c>
      <c r="M202" s="21" t="str">
        <f aca="false">IF($A202="","",IF(WEEKDAY($A202,2)&lt;&gt;7,"",IF(AND(OR(G202="",N(G202)&gt;=$A202+16/24,N(H202)&lt;=$A202+6/24),OR(I202="",N(I202)&lt;=$A202+6/24)),1,0)))</f>
        <v/>
      </c>
      <c r="N202" s="26" t="str">
        <f aca="false">IF($A202="","",IF(INDEX(Muster!$C$7:$BF$7,1,MOD($A202-Einstellungen!$C$6,Einstellungen!$C$7)+1)="","-",INDEX(Muster!$C$7:$BF$7,1,MOD($A202-Einstellungen!$C$6,Einstellungen!$C$7)+1)))</f>
        <v>F</v>
      </c>
      <c r="O202" s="27" t="n">
        <f aca="false">IF($A202="","",IFERROR(VLOOKUP(N202,Schichten!$A$5:$G$24,6,FALSE()),0))</f>
        <v>8</v>
      </c>
      <c r="P202" s="27" t="n">
        <f aca="false">IF($A202="","",IFERROR(VLOOKUP(N202,Schichten!$A$5:$G$24,7,FALSE()),0))</f>
        <v>0</v>
      </c>
      <c r="Q202" s="28" t="n">
        <f aca="false">IF($A202="","",IF(N(O202)=0,"",$A202+VLOOKUP(N202,Schichten!$A$5:$G$24,3,FALSE())))</f>
        <v>46585.25</v>
      </c>
      <c r="R202" s="28" t="n">
        <f aca="false">IF(Q202="","",$A202+VLOOKUP(N202,Schichten!$A$5:$G$24,4,FALSE())+IF(VLOOKUP(N202,Schichten!$A$5:$G$24,4,FALSE())&lt;=VLOOKUP(N202,Schichten!$A$5:$G$24,3,FALSE()),1,0))</f>
        <v>46585.5833333333</v>
      </c>
      <c r="S202" s="28" t="n">
        <f aca="false">IF($A202="","",IF(N(O201)&gt;0,R201,S201))</f>
        <v>46583.25</v>
      </c>
      <c r="T202" s="27" t="n">
        <f aca="false">IF(OR(Q202="",S202=""),"",(Q202-S202)*24)</f>
        <v>48</v>
      </c>
      <c r="U202" s="21" t="n">
        <f aca="false">IF($A202="","",IF(N(O202)&gt;0,N(U201)+1,0))</f>
        <v>1</v>
      </c>
      <c r="V202" s="21" t="n">
        <f aca="false">IF($A202="","",IF(N(P202)&gt;0,N(V201)+1,0))</f>
        <v>0</v>
      </c>
      <c r="W202" s="21" t="str">
        <f aca="false">IF($A202="","",IF(WEEKDAY($A202,2)&lt;&gt;7,"",IF(AND(OR(Q202="",N(Q202)&gt;=$A202+16/24,N(R202)&lt;=$A202+6/24),OR(S202="",N(S202)&lt;=$A202+6/24)),1,0)))</f>
        <v/>
      </c>
      <c r="X202" s="26" t="str">
        <f aca="false">IF($A202="","",IF(INDEX(Muster!$C$8:$BF$8,1,MOD($A202-Einstellungen!$C$6,Einstellungen!$C$7)+1)="","-",INDEX(Muster!$C$8:$BF$8,1,MOD($A202-Einstellungen!$C$6,Einstellungen!$C$7)+1)))</f>
        <v>-</v>
      </c>
      <c r="Y202" s="27" t="n">
        <f aca="false">IF($A202="","",IFERROR(VLOOKUP(X202,Schichten!$A$5:$G$24,6,FALSE()),0))</f>
        <v>0</v>
      </c>
      <c r="Z202" s="27" t="n">
        <f aca="false">IF($A202="","",IFERROR(VLOOKUP(X202,Schichten!$A$5:$G$24,7,FALSE()),0))</f>
        <v>0</v>
      </c>
      <c r="AA202" s="28" t="str">
        <f aca="false">IF($A202="","",IF(N(Y202)=0,"",$A202+VLOOKUP(X202,Schichten!$A$5:$G$24,3,FALSE())))</f>
        <v/>
      </c>
      <c r="AB202" s="28" t="str">
        <f aca="false">IF(AA202="","",$A202+VLOOKUP(X202,Schichten!$A$5:$G$24,4,FALSE())+IF(VLOOKUP(X202,Schichten!$A$5:$G$24,4,FALSE())&lt;=VLOOKUP(X202,Schichten!$A$5:$G$24,3,FALSE()),1,0))</f>
        <v/>
      </c>
      <c r="AC202" s="28" t="n">
        <f aca="false">IF($A202="","",IF(N(Y201)&gt;0,AB201,AC201))</f>
        <v>46585.25</v>
      </c>
      <c r="AD202" s="27" t="str">
        <f aca="false">IF(OR(AA202="",AC202=""),"",(AA202-AC202)*24)</f>
        <v/>
      </c>
      <c r="AE202" s="21" t="n">
        <f aca="false">IF($A202="","",IF(N(Y202)&gt;0,N(AE201)+1,0))</f>
        <v>0</v>
      </c>
      <c r="AF202" s="21" t="n">
        <f aca="false">IF($A202="","",IF(N(Z202)&gt;0,N(AF201)+1,0))</f>
        <v>0</v>
      </c>
      <c r="AG202" s="21" t="str">
        <f aca="false">IF($A202="","",IF(WEEKDAY($A202,2)&lt;&gt;7,"",IF(AND(OR(AA202="",N(AA202)&gt;=$A202+16/24,N(AB202)&lt;=$A202+6/24),OR(AC202="",N(AC202)&lt;=$A202+6/24)),1,0)))</f>
        <v/>
      </c>
      <c r="AH202" s="26" t="str">
        <f aca="false">IF($A202="","",IF(INDEX(Muster!$C$9:$BF$9,1,MOD($A202-Einstellungen!$C$6,Einstellungen!$C$7)+1)="","-",INDEX(Muster!$C$9:$BF$9,1,MOD($A202-Einstellungen!$C$6,Einstellungen!$C$7)+1)))</f>
        <v>N</v>
      </c>
      <c r="AI202" s="27" t="n">
        <f aca="false">IF($A202="","",IFERROR(VLOOKUP(AH202,Schichten!$A$5:$G$24,6,FALSE()),0))</f>
        <v>8</v>
      </c>
      <c r="AJ202" s="27" t="n">
        <f aca="false">IF($A202="","",IFERROR(VLOOKUP(AH202,Schichten!$A$5:$G$24,7,FALSE()),0))</f>
        <v>7</v>
      </c>
      <c r="AK202" s="28" t="n">
        <f aca="false">IF($A202="","",IF(N(AI202)=0,"",$A202+VLOOKUP(AH202,Schichten!$A$5:$G$24,3,FALSE())))</f>
        <v>46585.9166666667</v>
      </c>
      <c r="AL202" s="28" t="n">
        <f aca="false">IF(AK202="","",$A202+VLOOKUP(AH202,Schichten!$A$5:$G$24,4,FALSE())+IF(VLOOKUP(AH202,Schichten!$A$5:$G$24,4,FALSE())&lt;=VLOOKUP(AH202,Schichten!$A$5:$G$24,3,FALSE()),1,0))</f>
        <v>46586.25</v>
      </c>
      <c r="AM202" s="28" t="n">
        <f aca="false">IF($A202="","",IF(N(AI201)&gt;0,AL201,AM201))</f>
        <v>46584.9166666667</v>
      </c>
      <c r="AN202" s="27" t="n">
        <f aca="false">IF(OR(AK202="",AM202=""),"",(AK202-AM202)*24)</f>
        <v>24</v>
      </c>
      <c r="AO202" s="21" t="n">
        <f aca="false">IF($A202="","",IF(N(AI202)&gt;0,N(AO201)+1,0))</f>
        <v>5</v>
      </c>
      <c r="AP202" s="21" t="n">
        <f aca="false">IF($A202="","",IF(N(AJ202)&gt;0,N(AP201)+1,0))</f>
        <v>1</v>
      </c>
      <c r="AQ202" s="21" t="str">
        <f aca="false">IF($A202="","",IF(WEEKDAY($A202,2)&lt;&gt;7,"",IF(AND(OR(AK202="",N(AK202)&gt;=$A202+16/24,N(AL202)&lt;=$A202+6/24),OR(AM202="",N(AM202)&lt;=$A202+6/24)),1,0)))</f>
        <v/>
      </c>
      <c r="AR202" s="26" t="str">
        <f aca="false">IF($A202="","",IF(INDEX(Muster!$C$10:$BF$10,1,MOD($A202-Einstellungen!$C$6,Einstellungen!$C$7)+1)="","-",INDEX(Muster!$C$10:$BF$10,1,MOD($A202-Einstellungen!$C$6,Einstellungen!$C$7)+1)))</f>
        <v>-</v>
      </c>
      <c r="AS202" s="27" t="n">
        <f aca="false">IF($A202="","",IFERROR(VLOOKUP(AR202,Schichten!$A$5:$G$24,6,FALSE()),0))</f>
        <v>0</v>
      </c>
      <c r="AT202" s="27" t="n">
        <f aca="false">IF($A202="","",IFERROR(VLOOKUP(AR202,Schichten!$A$5:$G$24,7,FALSE()),0))</f>
        <v>0</v>
      </c>
      <c r="AU202" s="28" t="str">
        <f aca="false">IF($A202="","",IF(N(AS202)=0,"",$A202+VLOOKUP(AR202,Schichten!$A$5:$G$24,3,FALSE())))</f>
        <v/>
      </c>
      <c r="AV202" s="28" t="str">
        <f aca="false">IF(AU202="","",$A202+VLOOKUP(AR202,Schichten!$A$5:$G$24,4,FALSE())+IF(VLOOKUP(AR202,Schichten!$A$5:$G$24,4,FALSE())&lt;=VLOOKUP(AR202,Schichten!$A$5:$G$24,3,FALSE()),1,0))</f>
        <v/>
      </c>
      <c r="AW202" s="28" t="str">
        <f aca="false">IF($A202="","",IF(N(AS201)&gt;0,AV201,AW201))</f>
        <v/>
      </c>
      <c r="AX202" s="27" t="str">
        <f aca="false">IF(OR(AU202="",AW202=""),"",(AU202-AW202)*24)</f>
        <v/>
      </c>
      <c r="AY202" s="21" t="n">
        <f aca="false">IF($A202="","",IF(N(AS202)&gt;0,N(AY201)+1,0))</f>
        <v>0</v>
      </c>
      <c r="AZ202" s="21" t="n">
        <f aca="false">IF($A202="","",IF(N(AT202)&gt;0,N(AZ201)+1,0))</f>
        <v>0</v>
      </c>
      <c r="BA202" s="21" t="str">
        <f aca="false">IF($A202="","",IF(WEEKDAY($A202,2)&lt;&gt;7,"",IF(AND(OR(AU202="",N(AU202)&gt;=$A202+16/24,N(AV202)&lt;=$A202+6/24),OR(AW202="",N(AW202)&lt;=$A202+6/24)),1,0)))</f>
        <v/>
      </c>
    </row>
    <row r="203" customFormat="false" ht="15" hidden="false" customHeight="false" outlineLevel="0" collapsed="false">
      <c r="A203" s="25" t="n">
        <f aca="false">IF(YEAR(DATE(Einstellungen!$C$4,1,1)+198)=Einstellungen!$C$4,DATE(Einstellungen!$C$4,1,1)+198,"")</f>
        <v>46586</v>
      </c>
      <c r="B203" s="26" t="str">
        <f aca="false">IF($A203="","",CHOOSE(WEEKDAY($A203,2),"Mo","Di","Mi","Do","Fr","Sa","So"))</f>
        <v>So</v>
      </c>
      <c r="C203" s="26" t="n">
        <f aca="false">IF($A203="","",MONTH($A203))</f>
        <v>7</v>
      </c>
      <c r="D203" s="26" t="str">
        <f aca="false">IF($A203="","",IF(INDEX(Muster!$C$6:$BF$6,1,MOD($A203-Einstellungen!$C$6,Einstellungen!$C$7)+1)="","-",INDEX(Muster!$C$6:$BF$6,1,MOD($A203-Einstellungen!$C$6,Einstellungen!$C$7)+1)))</f>
        <v>S</v>
      </c>
      <c r="E203" s="27" t="n">
        <f aca="false">IF($A203="","",IFERROR(VLOOKUP(D203,Schichten!$A$5:$G$24,6,FALSE()),0))</f>
        <v>8</v>
      </c>
      <c r="F203" s="27" t="n">
        <f aca="false">IF($A203="","",IFERROR(VLOOKUP(D203,Schichten!$A$5:$G$24,7,FALSE()),0))</f>
        <v>0</v>
      </c>
      <c r="G203" s="28" t="n">
        <f aca="false">IF($A203="","",IF(N(E203)=0,"",$A203+VLOOKUP(D203,Schichten!$A$5:$G$24,3,FALSE())))</f>
        <v>46586.5833333333</v>
      </c>
      <c r="H203" s="28" t="n">
        <f aca="false">IF(G203="","",$A203+VLOOKUP(D203,Schichten!$A$5:$G$24,4,FALSE())+IF(VLOOKUP(D203,Schichten!$A$5:$G$24,4,FALSE())&lt;=VLOOKUP(D203,Schichten!$A$5:$G$24,3,FALSE()),1,0))</f>
        <v>46586.9166666667</v>
      </c>
      <c r="I203" s="28" t="n">
        <f aca="false">IF($A203="","",IF(N(E202)&gt;0,H202,I202))</f>
        <v>46585.9166666667</v>
      </c>
      <c r="J203" s="27" t="n">
        <f aca="false">IF(OR(G203="",I203=""),"",(G203-I203)*24)</f>
        <v>16</v>
      </c>
      <c r="K203" s="21" t="n">
        <f aca="false">IF($A203="","",IF(N(E203)&gt;0,N(K202)+1,0))</f>
        <v>4</v>
      </c>
      <c r="L203" s="21" t="n">
        <f aca="false">IF($A203="","",IF(N(F203)&gt;0,N(L202)+1,0))</f>
        <v>0</v>
      </c>
      <c r="M203" s="21" t="n">
        <f aca="false">IF($A203="","",IF(WEEKDAY($A203,2)&lt;&gt;7,"",IF(AND(OR(G203="",N(G203)&gt;=$A203+16/24,N(H203)&lt;=$A203+6/24),OR(I203="",N(I203)&lt;=$A203+6/24)),1,0)))</f>
        <v>0</v>
      </c>
      <c r="N203" s="26" t="str">
        <f aca="false">IF($A203="","",IF(INDEX(Muster!$C$7:$BF$7,1,MOD($A203-Einstellungen!$C$6,Einstellungen!$C$7)+1)="","-",INDEX(Muster!$C$7:$BF$7,1,MOD($A203-Einstellungen!$C$6,Einstellungen!$C$7)+1)))</f>
        <v>F</v>
      </c>
      <c r="O203" s="27" t="n">
        <f aca="false">IF($A203="","",IFERROR(VLOOKUP(N203,Schichten!$A$5:$G$24,6,FALSE()),0))</f>
        <v>8</v>
      </c>
      <c r="P203" s="27" t="n">
        <f aca="false">IF($A203="","",IFERROR(VLOOKUP(N203,Schichten!$A$5:$G$24,7,FALSE()),0))</f>
        <v>0</v>
      </c>
      <c r="Q203" s="28" t="n">
        <f aca="false">IF($A203="","",IF(N(O203)=0,"",$A203+VLOOKUP(N203,Schichten!$A$5:$G$24,3,FALSE())))</f>
        <v>46586.25</v>
      </c>
      <c r="R203" s="28" t="n">
        <f aca="false">IF(Q203="","",$A203+VLOOKUP(N203,Schichten!$A$5:$G$24,4,FALSE())+IF(VLOOKUP(N203,Schichten!$A$5:$G$24,4,FALSE())&lt;=VLOOKUP(N203,Schichten!$A$5:$G$24,3,FALSE()),1,0))</f>
        <v>46586.5833333333</v>
      </c>
      <c r="S203" s="28" t="n">
        <f aca="false">IF($A203="","",IF(N(O202)&gt;0,R202,S202))</f>
        <v>46585.5833333333</v>
      </c>
      <c r="T203" s="27" t="n">
        <f aca="false">IF(OR(Q203="",S203=""),"",(Q203-S203)*24)</f>
        <v>16</v>
      </c>
      <c r="U203" s="21" t="n">
        <f aca="false">IF($A203="","",IF(N(O203)&gt;0,N(U202)+1,0))</f>
        <v>2</v>
      </c>
      <c r="V203" s="21" t="n">
        <f aca="false">IF($A203="","",IF(N(P203)&gt;0,N(V202)+1,0))</f>
        <v>0</v>
      </c>
      <c r="W203" s="21" t="n">
        <f aca="false">IF($A203="","",IF(WEEKDAY($A203,2)&lt;&gt;7,"",IF(AND(OR(Q203="",N(Q203)&gt;=$A203+16/24,N(R203)&lt;=$A203+6/24),OR(S203="",N(S203)&lt;=$A203+6/24)),1,0)))</f>
        <v>0</v>
      </c>
      <c r="X203" s="26" t="str">
        <f aca="false">IF($A203="","",IF(INDEX(Muster!$C$8:$BF$8,1,MOD($A203-Einstellungen!$C$6,Einstellungen!$C$7)+1)="","-",INDEX(Muster!$C$8:$BF$8,1,MOD($A203-Einstellungen!$C$6,Einstellungen!$C$7)+1)))</f>
        <v>-</v>
      </c>
      <c r="Y203" s="27" t="n">
        <f aca="false">IF($A203="","",IFERROR(VLOOKUP(X203,Schichten!$A$5:$G$24,6,FALSE()),0))</f>
        <v>0</v>
      </c>
      <c r="Z203" s="27" t="n">
        <f aca="false">IF($A203="","",IFERROR(VLOOKUP(X203,Schichten!$A$5:$G$24,7,FALSE()),0))</f>
        <v>0</v>
      </c>
      <c r="AA203" s="28" t="str">
        <f aca="false">IF($A203="","",IF(N(Y203)=0,"",$A203+VLOOKUP(X203,Schichten!$A$5:$G$24,3,FALSE())))</f>
        <v/>
      </c>
      <c r="AB203" s="28" t="str">
        <f aca="false">IF(AA203="","",$A203+VLOOKUP(X203,Schichten!$A$5:$G$24,4,FALSE())+IF(VLOOKUP(X203,Schichten!$A$5:$G$24,4,FALSE())&lt;=VLOOKUP(X203,Schichten!$A$5:$G$24,3,FALSE()),1,0))</f>
        <v/>
      </c>
      <c r="AC203" s="28" t="n">
        <f aca="false">IF($A203="","",IF(N(Y202)&gt;0,AB202,AC202))</f>
        <v>46585.25</v>
      </c>
      <c r="AD203" s="27" t="str">
        <f aca="false">IF(OR(AA203="",AC203=""),"",(AA203-AC203)*24)</f>
        <v/>
      </c>
      <c r="AE203" s="21" t="n">
        <f aca="false">IF($A203="","",IF(N(Y203)&gt;0,N(AE202)+1,0))</f>
        <v>0</v>
      </c>
      <c r="AF203" s="21" t="n">
        <f aca="false">IF($A203="","",IF(N(Z203)&gt;0,N(AF202)+1,0))</f>
        <v>0</v>
      </c>
      <c r="AG203" s="21" t="n">
        <f aca="false">IF($A203="","",IF(WEEKDAY($A203,2)&lt;&gt;7,"",IF(AND(OR(AA203="",N(AA203)&gt;=$A203+16/24,N(AB203)&lt;=$A203+6/24),OR(AC203="",N(AC203)&lt;=$A203+6/24)),1,0)))</f>
        <v>1</v>
      </c>
      <c r="AH203" s="26" t="str">
        <f aca="false">IF($A203="","",IF(INDEX(Muster!$C$9:$BF$9,1,MOD($A203-Einstellungen!$C$6,Einstellungen!$C$7)+1)="","-",INDEX(Muster!$C$9:$BF$9,1,MOD($A203-Einstellungen!$C$6,Einstellungen!$C$7)+1)))</f>
        <v>N</v>
      </c>
      <c r="AI203" s="27" t="n">
        <f aca="false">IF($A203="","",IFERROR(VLOOKUP(AH203,Schichten!$A$5:$G$24,6,FALSE()),0))</f>
        <v>8</v>
      </c>
      <c r="AJ203" s="27" t="n">
        <f aca="false">IF($A203="","",IFERROR(VLOOKUP(AH203,Schichten!$A$5:$G$24,7,FALSE()),0))</f>
        <v>7</v>
      </c>
      <c r="AK203" s="28" t="n">
        <f aca="false">IF($A203="","",IF(N(AI203)=0,"",$A203+VLOOKUP(AH203,Schichten!$A$5:$G$24,3,FALSE())))</f>
        <v>46586.9166666667</v>
      </c>
      <c r="AL203" s="28" t="n">
        <f aca="false">IF(AK203="","",$A203+VLOOKUP(AH203,Schichten!$A$5:$G$24,4,FALSE())+IF(VLOOKUP(AH203,Schichten!$A$5:$G$24,4,FALSE())&lt;=VLOOKUP(AH203,Schichten!$A$5:$G$24,3,FALSE()),1,0))</f>
        <v>46587.25</v>
      </c>
      <c r="AM203" s="28" t="n">
        <f aca="false">IF($A203="","",IF(N(AI202)&gt;0,AL202,AM202))</f>
        <v>46586.25</v>
      </c>
      <c r="AN203" s="27" t="n">
        <f aca="false">IF(OR(AK203="",AM203=""),"",(AK203-AM203)*24)</f>
        <v>16</v>
      </c>
      <c r="AO203" s="21" t="n">
        <f aca="false">IF($A203="","",IF(N(AI203)&gt;0,N(AO202)+1,0))</f>
        <v>6</v>
      </c>
      <c r="AP203" s="21" t="n">
        <f aca="false">IF($A203="","",IF(N(AJ203)&gt;0,N(AP202)+1,0))</f>
        <v>2</v>
      </c>
      <c r="AQ203" s="21" t="n">
        <f aca="false">IF($A203="","",IF(WEEKDAY($A203,2)&lt;&gt;7,"",IF(AND(OR(AK203="",N(AK203)&gt;=$A203+16/24,N(AL203)&lt;=$A203+6/24),OR(AM203="",N(AM203)&lt;=$A203+6/24)),1,0)))</f>
        <v>1</v>
      </c>
      <c r="AR203" s="26" t="str">
        <f aca="false">IF($A203="","",IF(INDEX(Muster!$C$10:$BF$10,1,MOD($A203-Einstellungen!$C$6,Einstellungen!$C$7)+1)="","-",INDEX(Muster!$C$10:$BF$10,1,MOD($A203-Einstellungen!$C$6,Einstellungen!$C$7)+1)))</f>
        <v>-</v>
      </c>
      <c r="AS203" s="27" t="n">
        <f aca="false">IF($A203="","",IFERROR(VLOOKUP(AR203,Schichten!$A$5:$G$24,6,FALSE()),0))</f>
        <v>0</v>
      </c>
      <c r="AT203" s="27" t="n">
        <f aca="false">IF($A203="","",IFERROR(VLOOKUP(AR203,Schichten!$A$5:$G$24,7,FALSE()),0))</f>
        <v>0</v>
      </c>
      <c r="AU203" s="28" t="str">
        <f aca="false">IF($A203="","",IF(N(AS203)=0,"",$A203+VLOOKUP(AR203,Schichten!$A$5:$G$24,3,FALSE())))</f>
        <v/>
      </c>
      <c r="AV203" s="28" t="str">
        <f aca="false">IF(AU203="","",$A203+VLOOKUP(AR203,Schichten!$A$5:$G$24,4,FALSE())+IF(VLOOKUP(AR203,Schichten!$A$5:$G$24,4,FALSE())&lt;=VLOOKUP(AR203,Schichten!$A$5:$G$24,3,FALSE()),1,0))</f>
        <v/>
      </c>
      <c r="AW203" s="28" t="str">
        <f aca="false">IF($A203="","",IF(N(AS202)&gt;0,AV202,AW202))</f>
        <v/>
      </c>
      <c r="AX203" s="27" t="str">
        <f aca="false">IF(OR(AU203="",AW203=""),"",(AU203-AW203)*24)</f>
        <v/>
      </c>
      <c r="AY203" s="21" t="n">
        <f aca="false">IF($A203="","",IF(N(AS203)&gt;0,N(AY202)+1,0))</f>
        <v>0</v>
      </c>
      <c r="AZ203" s="21" t="n">
        <f aca="false">IF($A203="","",IF(N(AT203)&gt;0,N(AZ202)+1,0))</f>
        <v>0</v>
      </c>
      <c r="BA203" s="21" t="n">
        <f aca="false">IF($A203="","",IF(WEEKDAY($A203,2)&lt;&gt;7,"",IF(AND(OR(AU203="",N(AU203)&gt;=$A203+16/24,N(AV203)&lt;=$A203+6/24),OR(AW203="",N(AW203)&lt;=$A203+6/24)),1,0)))</f>
        <v>1</v>
      </c>
    </row>
    <row r="204" customFormat="false" ht="15" hidden="false" customHeight="false" outlineLevel="0" collapsed="false">
      <c r="A204" s="25" t="n">
        <f aca="false">IF(YEAR(DATE(Einstellungen!$C$4,1,1)+199)=Einstellungen!$C$4,DATE(Einstellungen!$C$4,1,1)+199,"")</f>
        <v>46587</v>
      </c>
      <c r="B204" s="26" t="str">
        <f aca="false">IF($A204="","",CHOOSE(WEEKDAY($A204,2),"Mo","Di","Mi","Do","Fr","Sa","So"))</f>
        <v>Mo</v>
      </c>
      <c r="C204" s="26" t="n">
        <f aca="false">IF($A204="","",MONTH($A204))</f>
        <v>7</v>
      </c>
      <c r="D204" s="26" t="str">
        <f aca="false">IF($A204="","",IF(INDEX(Muster!$C$6:$BF$6,1,MOD($A204-Einstellungen!$C$6,Einstellungen!$C$7)+1)="","-",INDEX(Muster!$C$6:$BF$6,1,MOD($A204-Einstellungen!$C$6,Einstellungen!$C$7)+1)))</f>
        <v>N</v>
      </c>
      <c r="E204" s="27" t="n">
        <f aca="false">IF($A204="","",IFERROR(VLOOKUP(D204,Schichten!$A$5:$G$24,6,FALSE()),0))</f>
        <v>8</v>
      </c>
      <c r="F204" s="27" t="n">
        <f aca="false">IF($A204="","",IFERROR(VLOOKUP(D204,Schichten!$A$5:$G$24,7,FALSE()),0))</f>
        <v>7</v>
      </c>
      <c r="G204" s="28" t="n">
        <f aca="false">IF($A204="","",IF(N(E204)=0,"",$A204+VLOOKUP(D204,Schichten!$A$5:$G$24,3,FALSE())))</f>
        <v>46587.9166666667</v>
      </c>
      <c r="H204" s="28" t="n">
        <f aca="false">IF(G204="","",$A204+VLOOKUP(D204,Schichten!$A$5:$G$24,4,FALSE())+IF(VLOOKUP(D204,Schichten!$A$5:$G$24,4,FALSE())&lt;=VLOOKUP(D204,Schichten!$A$5:$G$24,3,FALSE()),1,0))</f>
        <v>46588.25</v>
      </c>
      <c r="I204" s="28" t="n">
        <f aca="false">IF($A204="","",IF(N(E203)&gt;0,H203,I203))</f>
        <v>46586.9166666667</v>
      </c>
      <c r="J204" s="27" t="n">
        <f aca="false">IF(OR(G204="",I204=""),"",(G204-I204)*24)</f>
        <v>24</v>
      </c>
      <c r="K204" s="21" t="n">
        <f aca="false">IF($A204="","",IF(N(E204)&gt;0,N(K203)+1,0))</f>
        <v>5</v>
      </c>
      <c r="L204" s="21" t="n">
        <f aca="false">IF($A204="","",IF(N(F204)&gt;0,N(L203)+1,0))</f>
        <v>1</v>
      </c>
      <c r="M204" s="21" t="str">
        <f aca="false">IF($A204="","",IF(WEEKDAY($A204,2)&lt;&gt;7,"",IF(AND(OR(G204="",N(G204)&gt;=$A204+16/24,N(H204)&lt;=$A204+6/24),OR(I204="",N(I204)&lt;=$A204+6/24)),1,0)))</f>
        <v/>
      </c>
      <c r="N204" s="26" t="str">
        <f aca="false">IF($A204="","",IF(INDEX(Muster!$C$7:$BF$7,1,MOD($A204-Einstellungen!$C$6,Einstellungen!$C$7)+1)="","-",INDEX(Muster!$C$7:$BF$7,1,MOD($A204-Einstellungen!$C$6,Einstellungen!$C$7)+1)))</f>
        <v>S</v>
      </c>
      <c r="O204" s="27" t="n">
        <f aca="false">IF($A204="","",IFERROR(VLOOKUP(N204,Schichten!$A$5:$G$24,6,FALSE()),0))</f>
        <v>8</v>
      </c>
      <c r="P204" s="27" t="n">
        <f aca="false">IF($A204="","",IFERROR(VLOOKUP(N204,Schichten!$A$5:$G$24,7,FALSE()),0))</f>
        <v>0</v>
      </c>
      <c r="Q204" s="28" t="n">
        <f aca="false">IF($A204="","",IF(N(O204)=0,"",$A204+VLOOKUP(N204,Schichten!$A$5:$G$24,3,FALSE())))</f>
        <v>46587.5833333333</v>
      </c>
      <c r="R204" s="28" t="n">
        <f aca="false">IF(Q204="","",$A204+VLOOKUP(N204,Schichten!$A$5:$G$24,4,FALSE())+IF(VLOOKUP(N204,Schichten!$A$5:$G$24,4,FALSE())&lt;=VLOOKUP(N204,Schichten!$A$5:$G$24,3,FALSE()),1,0))</f>
        <v>46587.9166666667</v>
      </c>
      <c r="S204" s="28" t="n">
        <f aca="false">IF($A204="","",IF(N(O203)&gt;0,R203,S203))</f>
        <v>46586.5833333333</v>
      </c>
      <c r="T204" s="27" t="n">
        <f aca="false">IF(OR(Q204="",S204=""),"",(Q204-S204)*24)</f>
        <v>24</v>
      </c>
      <c r="U204" s="21" t="n">
        <f aca="false">IF($A204="","",IF(N(O204)&gt;0,N(U203)+1,0))</f>
        <v>3</v>
      </c>
      <c r="V204" s="21" t="n">
        <f aca="false">IF($A204="","",IF(N(P204)&gt;0,N(V203)+1,0))</f>
        <v>0</v>
      </c>
      <c r="W204" s="21" t="str">
        <f aca="false">IF($A204="","",IF(WEEKDAY($A204,2)&lt;&gt;7,"",IF(AND(OR(Q204="",N(Q204)&gt;=$A204+16/24,N(R204)&lt;=$A204+6/24),OR(S204="",N(S204)&lt;=$A204+6/24)),1,0)))</f>
        <v/>
      </c>
      <c r="X204" s="26" t="str">
        <f aca="false">IF($A204="","",IF(INDEX(Muster!$C$8:$BF$8,1,MOD($A204-Einstellungen!$C$6,Einstellungen!$C$7)+1)="","-",INDEX(Muster!$C$8:$BF$8,1,MOD($A204-Einstellungen!$C$6,Einstellungen!$C$7)+1)))</f>
        <v>F</v>
      </c>
      <c r="Y204" s="27" t="n">
        <f aca="false">IF($A204="","",IFERROR(VLOOKUP(X204,Schichten!$A$5:$G$24,6,FALSE()),0))</f>
        <v>8</v>
      </c>
      <c r="Z204" s="27" t="n">
        <f aca="false">IF($A204="","",IFERROR(VLOOKUP(X204,Schichten!$A$5:$G$24,7,FALSE()),0))</f>
        <v>0</v>
      </c>
      <c r="AA204" s="28" t="n">
        <f aca="false">IF($A204="","",IF(N(Y204)=0,"",$A204+VLOOKUP(X204,Schichten!$A$5:$G$24,3,FALSE())))</f>
        <v>46587.25</v>
      </c>
      <c r="AB204" s="28" t="n">
        <f aca="false">IF(AA204="","",$A204+VLOOKUP(X204,Schichten!$A$5:$G$24,4,FALSE())+IF(VLOOKUP(X204,Schichten!$A$5:$G$24,4,FALSE())&lt;=VLOOKUP(X204,Schichten!$A$5:$G$24,3,FALSE()),1,0))</f>
        <v>46587.5833333333</v>
      </c>
      <c r="AC204" s="28" t="n">
        <f aca="false">IF($A204="","",IF(N(Y203)&gt;0,AB203,AC203))</f>
        <v>46585.25</v>
      </c>
      <c r="AD204" s="27" t="n">
        <f aca="false">IF(OR(AA204="",AC204=""),"",(AA204-AC204)*24)</f>
        <v>48</v>
      </c>
      <c r="AE204" s="21" t="n">
        <f aca="false">IF($A204="","",IF(N(Y204)&gt;0,N(AE203)+1,0))</f>
        <v>1</v>
      </c>
      <c r="AF204" s="21" t="n">
        <f aca="false">IF($A204="","",IF(N(Z204)&gt;0,N(AF203)+1,0))</f>
        <v>0</v>
      </c>
      <c r="AG204" s="21" t="str">
        <f aca="false">IF($A204="","",IF(WEEKDAY($A204,2)&lt;&gt;7,"",IF(AND(OR(AA204="",N(AA204)&gt;=$A204+16/24,N(AB204)&lt;=$A204+6/24),OR(AC204="",N(AC204)&lt;=$A204+6/24)),1,0)))</f>
        <v/>
      </c>
      <c r="AH204" s="26" t="str">
        <f aca="false">IF($A204="","",IF(INDEX(Muster!$C$9:$BF$9,1,MOD($A204-Einstellungen!$C$6,Einstellungen!$C$7)+1)="","-",INDEX(Muster!$C$9:$BF$9,1,MOD($A204-Einstellungen!$C$6,Einstellungen!$C$7)+1)))</f>
        <v>-</v>
      </c>
      <c r="AI204" s="27" t="n">
        <f aca="false">IF($A204="","",IFERROR(VLOOKUP(AH204,Schichten!$A$5:$G$24,6,FALSE()),0))</f>
        <v>0</v>
      </c>
      <c r="AJ204" s="27" t="n">
        <f aca="false">IF($A204="","",IFERROR(VLOOKUP(AH204,Schichten!$A$5:$G$24,7,FALSE()),0))</f>
        <v>0</v>
      </c>
      <c r="AK204" s="28" t="str">
        <f aca="false">IF($A204="","",IF(N(AI204)=0,"",$A204+VLOOKUP(AH204,Schichten!$A$5:$G$24,3,FALSE())))</f>
        <v/>
      </c>
      <c r="AL204" s="28" t="str">
        <f aca="false">IF(AK204="","",$A204+VLOOKUP(AH204,Schichten!$A$5:$G$24,4,FALSE())+IF(VLOOKUP(AH204,Schichten!$A$5:$G$24,4,FALSE())&lt;=VLOOKUP(AH204,Schichten!$A$5:$G$24,3,FALSE()),1,0))</f>
        <v/>
      </c>
      <c r="AM204" s="28" t="n">
        <f aca="false">IF($A204="","",IF(N(AI203)&gt;0,AL203,AM203))</f>
        <v>46587.25</v>
      </c>
      <c r="AN204" s="27" t="str">
        <f aca="false">IF(OR(AK204="",AM204=""),"",(AK204-AM204)*24)</f>
        <v/>
      </c>
      <c r="AO204" s="21" t="n">
        <f aca="false">IF($A204="","",IF(N(AI204)&gt;0,N(AO203)+1,0))</f>
        <v>0</v>
      </c>
      <c r="AP204" s="21" t="n">
        <f aca="false">IF($A204="","",IF(N(AJ204)&gt;0,N(AP203)+1,0))</f>
        <v>0</v>
      </c>
      <c r="AQ204" s="21" t="str">
        <f aca="false">IF($A204="","",IF(WEEKDAY($A204,2)&lt;&gt;7,"",IF(AND(OR(AK204="",N(AK204)&gt;=$A204+16/24,N(AL204)&lt;=$A204+6/24),OR(AM204="",N(AM204)&lt;=$A204+6/24)),1,0)))</f>
        <v/>
      </c>
      <c r="AR204" s="26" t="str">
        <f aca="false">IF($A204="","",IF(INDEX(Muster!$C$10:$BF$10,1,MOD($A204-Einstellungen!$C$6,Einstellungen!$C$7)+1)="","-",INDEX(Muster!$C$10:$BF$10,1,MOD($A204-Einstellungen!$C$6,Einstellungen!$C$7)+1)))</f>
        <v>-</v>
      </c>
      <c r="AS204" s="27" t="n">
        <f aca="false">IF($A204="","",IFERROR(VLOOKUP(AR204,Schichten!$A$5:$G$24,6,FALSE()),0))</f>
        <v>0</v>
      </c>
      <c r="AT204" s="27" t="n">
        <f aca="false">IF($A204="","",IFERROR(VLOOKUP(AR204,Schichten!$A$5:$G$24,7,FALSE()),0))</f>
        <v>0</v>
      </c>
      <c r="AU204" s="28" t="str">
        <f aca="false">IF($A204="","",IF(N(AS204)=0,"",$A204+VLOOKUP(AR204,Schichten!$A$5:$G$24,3,FALSE())))</f>
        <v/>
      </c>
      <c r="AV204" s="28" t="str">
        <f aca="false">IF(AU204="","",$A204+VLOOKUP(AR204,Schichten!$A$5:$G$24,4,FALSE())+IF(VLOOKUP(AR204,Schichten!$A$5:$G$24,4,FALSE())&lt;=VLOOKUP(AR204,Schichten!$A$5:$G$24,3,FALSE()),1,0))</f>
        <v/>
      </c>
      <c r="AW204" s="28" t="str">
        <f aca="false">IF($A204="","",IF(N(AS203)&gt;0,AV203,AW203))</f>
        <v/>
      </c>
      <c r="AX204" s="27" t="str">
        <f aca="false">IF(OR(AU204="",AW204=""),"",(AU204-AW204)*24)</f>
        <v/>
      </c>
      <c r="AY204" s="21" t="n">
        <f aca="false">IF($A204="","",IF(N(AS204)&gt;0,N(AY203)+1,0))</f>
        <v>0</v>
      </c>
      <c r="AZ204" s="21" t="n">
        <f aca="false">IF($A204="","",IF(N(AT204)&gt;0,N(AZ203)+1,0))</f>
        <v>0</v>
      </c>
      <c r="BA204" s="21" t="str">
        <f aca="false">IF($A204="","",IF(WEEKDAY($A204,2)&lt;&gt;7,"",IF(AND(OR(AU204="",N(AU204)&gt;=$A204+16/24,N(AV204)&lt;=$A204+6/24),OR(AW204="",N(AW204)&lt;=$A204+6/24)),1,0)))</f>
        <v/>
      </c>
    </row>
    <row r="205" customFormat="false" ht="15" hidden="false" customHeight="false" outlineLevel="0" collapsed="false">
      <c r="A205" s="25" t="n">
        <f aca="false">IF(YEAR(DATE(Einstellungen!$C$4,1,1)+200)=Einstellungen!$C$4,DATE(Einstellungen!$C$4,1,1)+200,"")</f>
        <v>46588</v>
      </c>
      <c r="B205" s="26" t="str">
        <f aca="false">IF($A205="","",CHOOSE(WEEKDAY($A205,2),"Mo","Di","Mi","Do","Fr","Sa","So"))</f>
        <v>Di</v>
      </c>
      <c r="C205" s="26" t="n">
        <f aca="false">IF($A205="","",MONTH($A205))</f>
        <v>7</v>
      </c>
      <c r="D205" s="26" t="str">
        <f aca="false">IF($A205="","",IF(INDEX(Muster!$C$6:$BF$6,1,MOD($A205-Einstellungen!$C$6,Einstellungen!$C$7)+1)="","-",INDEX(Muster!$C$6:$BF$6,1,MOD($A205-Einstellungen!$C$6,Einstellungen!$C$7)+1)))</f>
        <v>N</v>
      </c>
      <c r="E205" s="27" t="n">
        <f aca="false">IF($A205="","",IFERROR(VLOOKUP(D205,Schichten!$A$5:$G$24,6,FALSE()),0))</f>
        <v>8</v>
      </c>
      <c r="F205" s="27" t="n">
        <f aca="false">IF($A205="","",IFERROR(VLOOKUP(D205,Schichten!$A$5:$G$24,7,FALSE()),0))</f>
        <v>7</v>
      </c>
      <c r="G205" s="28" t="n">
        <f aca="false">IF($A205="","",IF(N(E205)=0,"",$A205+VLOOKUP(D205,Schichten!$A$5:$G$24,3,FALSE())))</f>
        <v>46588.9166666667</v>
      </c>
      <c r="H205" s="28" t="n">
        <f aca="false">IF(G205="","",$A205+VLOOKUP(D205,Schichten!$A$5:$G$24,4,FALSE())+IF(VLOOKUP(D205,Schichten!$A$5:$G$24,4,FALSE())&lt;=VLOOKUP(D205,Schichten!$A$5:$G$24,3,FALSE()),1,0))</f>
        <v>46589.25</v>
      </c>
      <c r="I205" s="28" t="n">
        <f aca="false">IF($A205="","",IF(N(E204)&gt;0,H204,I204))</f>
        <v>46588.25</v>
      </c>
      <c r="J205" s="27" t="n">
        <f aca="false">IF(OR(G205="",I205=""),"",(G205-I205)*24)</f>
        <v>16</v>
      </c>
      <c r="K205" s="21" t="n">
        <f aca="false">IF($A205="","",IF(N(E205)&gt;0,N(K204)+1,0))</f>
        <v>6</v>
      </c>
      <c r="L205" s="21" t="n">
        <f aca="false">IF($A205="","",IF(N(F205)&gt;0,N(L204)+1,0))</f>
        <v>2</v>
      </c>
      <c r="M205" s="21" t="str">
        <f aca="false">IF($A205="","",IF(WEEKDAY($A205,2)&lt;&gt;7,"",IF(AND(OR(G205="",N(G205)&gt;=$A205+16/24,N(H205)&lt;=$A205+6/24),OR(I205="",N(I205)&lt;=$A205+6/24)),1,0)))</f>
        <v/>
      </c>
      <c r="N205" s="26" t="str">
        <f aca="false">IF($A205="","",IF(INDEX(Muster!$C$7:$BF$7,1,MOD($A205-Einstellungen!$C$6,Einstellungen!$C$7)+1)="","-",INDEX(Muster!$C$7:$BF$7,1,MOD($A205-Einstellungen!$C$6,Einstellungen!$C$7)+1)))</f>
        <v>S</v>
      </c>
      <c r="O205" s="27" t="n">
        <f aca="false">IF($A205="","",IFERROR(VLOOKUP(N205,Schichten!$A$5:$G$24,6,FALSE()),0))</f>
        <v>8</v>
      </c>
      <c r="P205" s="27" t="n">
        <f aca="false">IF($A205="","",IFERROR(VLOOKUP(N205,Schichten!$A$5:$G$24,7,FALSE()),0))</f>
        <v>0</v>
      </c>
      <c r="Q205" s="28" t="n">
        <f aca="false">IF($A205="","",IF(N(O205)=0,"",$A205+VLOOKUP(N205,Schichten!$A$5:$G$24,3,FALSE())))</f>
        <v>46588.5833333333</v>
      </c>
      <c r="R205" s="28" t="n">
        <f aca="false">IF(Q205="","",$A205+VLOOKUP(N205,Schichten!$A$5:$G$24,4,FALSE())+IF(VLOOKUP(N205,Schichten!$A$5:$G$24,4,FALSE())&lt;=VLOOKUP(N205,Schichten!$A$5:$G$24,3,FALSE()),1,0))</f>
        <v>46588.9166666667</v>
      </c>
      <c r="S205" s="28" t="n">
        <f aca="false">IF($A205="","",IF(N(O204)&gt;0,R204,S204))</f>
        <v>46587.9166666667</v>
      </c>
      <c r="T205" s="27" t="n">
        <f aca="false">IF(OR(Q205="",S205=""),"",(Q205-S205)*24)</f>
        <v>16</v>
      </c>
      <c r="U205" s="21" t="n">
        <f aca="false">IF($A205="","",IF(N(O205)&gt;0,N(U204)+1,0))</f>
        <v>4</v>
      </c>
      <c r="V205" s="21" t="n">
        <f aca="false">IF($A205="","",IF(N(P205)&gt;0,N(V204)+1,0))</f>
        <v>0</v>
      </c>
      <c r="W205" s="21" t="str">
        <f aca="false">IF($A205="","",IF(WEEKDAY($A205,2)&lt;&gt;7,"",IF(AND(OR(Q205="",N(Q205)&gt;=$A205+16/24,N(R205)&lt;=$A205+6/24),OR(S205="",N(S205)&lt;=$A205+6/24)),1,0)))</f>
        <v/>
      </c>
      <c r="X205" s="26" t="str">
        <f aca="false">IF($A205="","",IF(INDEX(Muster!$C$8:$BF$8,1,MOD($A205-Einstellungen!$C$6,Einstellungen!$C$7)+1)="","-",INDEX(Muster!$C$8:$BF$8,1,MOD($A205-Einstellungen!$C$6,Einstellungen!$C$7)+1)))</f>
        <v>F</v>
      </c>
      <c r="Y205" s="27" t="n">
        <f aca="false">IF($A205="","",IFERROR(VLOOKUP(X205,Schichten!$A$5:$G$24,6,FALSE()),0))</f>
        <v>8</v>
      </c>
      <c r="Z205" s="27" t="n">
        <f aca="false">IF($A205="","",IFERROR(VLOOKUP(X205,Schichten!$A$5:$G$24,7,FALSE()),0))</f>
        <v>0</v>
      </c>
      <c r="AA205" s="28" t="n">
        <f aca="false">IF($A205="","",IF(N(Y205)=0,"",$A205+VLOOKUP(X205,Schichten!$A$5:$G$24,3,FALSE())))</f>
        <v>46588.25</v>
      </c>
      <c r="AB205" s="28" t="n">
        <f aca="false">IF(AA205="","",$A205+VLOOKUP(X205,Schichten!$A$5:$G$24,4,FALSE())+IF(VLOOKUP(X205,Schichten!$A$5:$G$24,4,FALSE())&lt;=VLOOKUP(X205,Schichten!$A$5:$G$24,3,FALSE()),1,0))</f>
        <v>46588.5833333333</v>
      </c>
      <c r="AC205" s="28" t="n">
        <f aca="false">IF($A205="","",IF(N(Y204)&gt;0,AB204,AC204))</f>
        <v>46587.5833333333</v>
      </c>
      <c r="AD205" s="27" t="n">
        <f aca="false">IF(OR(AA205="",AC205=""),"",(AA205-AC205)*24)</f>
        <v>16</v>
      </c>
      <c r="AE205" s="21" t="n">
        <f aca="false">IF($A205="","",IF(N(Y205)&gt;0,N(AE204)+1,0))</f>
        <v>2</v>
      </c>
      <c r="AF205" s="21" t="n">
        <f aca="false">IF($A205="","",IF(N(Z205)&gt;0,N(AF204)+1,0))</f>
        <v>0</v>
      </c>
      <c r="AG205" s="21" t="str">
        <f aca="false">IF($A205="","",IF(WEEKDAY($A205,2)&lt;&gt;7,"",IF(AND(OR(AA205="",N(AA205)&gt;=$A205+16/24,N(AB205)&lt;=$A205+6/24),OR(AC205="",N(AC205)&lt;=$A205+6/24)),1,0)))</f>
        <v/>
      </c>
      <c r="AH205" s="26" t="str">
        <f aca="false">IF($A205="","",IF(INDEX(Muster!$C$9:$BF$9,1,MOD($A205-Einstellungen!$C$6,Einstellungen!$C$7)+1)="","-",INDEX(Muster!$C$9:$BF$9,1,MOD($A205-Einstellungen!$C$6,Einstellungen!$C$7)+1)))</f>
        <v>-</v>
      </c>
      <c r="AI205" s="27" t="n">
        <f aca="false">IF($A205="","",IFERROR(VLOOKUP(AH205,Schichten!$A$5:$G$24,6,FALSE()),0))</f>
        <v>0</v>
      </c>
      <c r="AJ205" s="27" t="n">
        <f aca="false">IF($A205="","",IFERROR(VLOOKUP(AH205,Schichten!$A$5:$G$24,7,FALSE()),0))</f>
        <v>0</v>
      </c>
      <c r="AK205" s="28" t="str">
        <f aca="false">IF($A205="","",IF(N(AI205)=0,"",$A205+VLOOKUP(AH205,Schichten!$A$5:$G$24,3,FALSE())))</f>
        <v/>
      </c>
      <c r="AL205" s="28" t="str">
        <f aca="false">IF(AK205="","",$A205+VLOOKUP(AH205,Schichten!$A$5:$G$24,4,FALSE())+IF(VLOOKUP(AH205,Schichten!$A$5:$G$24,4,FALSE())&lt;=VLOOKUP(AH205,Schichten!$A$5:$G$24,3,FALSE()),1,0))</f>
        <v/>
      </c>
      <c r="AM205" s="28" t="n">
        <f aca="false">IF($A205="","",IF(N(AI204)&gt;0,AL204,AM204))</f>
        <v>46587.25</v>
      </c>
      <c r="AN205" s="27" t="str">
        <f aca="false">IF(OR(AK205="",AM205=""),"",(AK205-AM205)*24)</f>
        <v/>
      </c>
      <c r="AO205" s="21" t="n">
        <f aca="false">IF($A205="","",IF(N(AI205)&gt;0,N(AO204)+1,0))</f>
        <v>0</v>
      </c>
      <c r="AP205" s="21" t="n">
        <f aca="false">IF($A205="","",IF(N(AJ205)&gt;0,N(AP204)+1,0))</f>
        <v>0</v>
      </c>
      <c r="AQ205" s="21" t="str">
        <f aca="false">IF($A205="","",IF(WEEKDAY($A205,2)&lt;&gt;7,"",IF(AND(OR(AK205="",N(AK205)&gt;=$A205+16/24,N(AL205)&lt;=$A205+6/24),OR(AM205="",N(AM205)&lt;=$A205+6/24)),1,0)))</f>
        <v/>
      </c>
      <c r="AR205" s="26" t="str">
        <f aca="false">IF($A205="","",IF(INDEX(Muster!$C$10:$BF$10,1,MOD($A205-Einstellungen!$C$6,Einstellungen!$C$7)+1)="","-",INDEX(Muster!$C$10:$BF$10,1,MOD($A205-Einstellungen!$C$6,Einstellungen!$C$7)+1)))</f>
        <v>-</v>
      </c>
      <c r="AS205" s="27" t="n">
        <f aca="false">IF($A205="","",IFERROR(VLOOKUP(AR205,Schichten!$A$5:$G$24,6,FALSE()),0))</f>
        <v>0</v>
      </c>
      <c r="AT205" s="27" t="n">
        <f aca="false">IF($A205="","",IFERROR(VLOOKUP(AR205,Schichten!$A$5:$G$24,7,FALSE()),0))</f>
        <v>0</v>
      </c>
      <c r="AU205" s="28" t="str">
        <f aca="false">IF($A205="","",IF(N(AS205)=0,"",$A205+VLOOKUP(AR205,Schichten!$A$5:$G$24,3,FALSE())))</f>
        <v/>
      </c>
      <c r="AV205" s="28" t="str">
        <f aca="false">IF(AU205="","",$A205+VLOOKUP(AR205,Schichten!$A$5:$G$24,4,FALSE())+IF(VLOOKUP(AR205,Schichten!$A$5:$G$24,4,FALSE())&lt;=VLOOKUP(AR205,Schichten!$A$5:$G$24,3,FALSE()),1,0))</f>
        <v/>
      </c>
      <c r="AW205" s="28" t="str">
        <f aca="false">IF($A205="","",IF(N(AS204)&gt;0,AV204,AW204))</f>
        <v/>
      </c>
      <c r="AX205" s="27" t="str">
        <f aca="false">IF(OR(AU205="",AW205=""),"",(AU205-AW205)*24)</f>
        <v/>
      </c>
      <c r="AY205" s="21" t="n">
        <f aca="false">IF($A205="","",IF(N(AS205)&gt;0,N(AY204)+1,0))</f>
        <v>0</v>
      </c>
      <c r="AZ205" s="21" t="n">
        <f aca="false">IF($A205="","",IF(N(AT205)&gt;0,N(AZ204)+1,0))</f>
        <v>0</v>
      </c>
      <c r="BA205" s="21" t="str">
        <f aca="false">IF($A205="","",IF(WEEKDAY($A205,2)&lt;&gt;7,"",IF(AND(OR(AU205="",N(AU205)&gt;=$A205+16/24,N(AV205)&lt;=$A205+6/24),OR(AW205="",N(AW205)&lt;=$A205+6/24)),1,0)))</f>
        <v/>
      </c>
    </row>
    <row r="206" customFormat="false" ht="15" hidden="false" customHeight="false" outlineLevel="0" collapsed="false">
      <c r="A206" s="25" t="n">
        <f aca="false">IF(YEAR(DATE(Einstellungen!$C$4,1,1)+201)=Einstellungen!$C$4,DATE(Einstellungen!$C$4,1,1)+201,"")</f>
        <v>46589</v>
      </c>
      <c r="B206" s="26" t="str">
        <f aca="false">IF($A206="","",CHOOSE(WEEKDAY($A206,2),"Mo","Di","Mi","Do","Fr","Sa","So"))</f>
        <v>Mi</v>
      </c>
      <c r="C206" s="26" t="n">
        <f aca="false">IF($A206="","",MONTH($A206))</f>
        <v>7</v>
      </c>
      <c r="D206" s="26" t="str">
        <f aca="false">IF($A206="","",IF(INDEX(Muster!$C$6:$BF$6,1,MOD($A206-Einstellungen!$C$6,Einstellungen!$C$7)+1)="","-",INDEX(Muster!$C$6:$BF$6,1,MOD($A206-Einstellungen!$C$6,Einstellungen!$C$7)+1)))</f>
        <v>-</v>
      </c>
      <c r="E206" s="27" t="n">
        <f aca="false">IF($A206="","",IFERROR(VLOOKUP(D206,Schichten!$A$5:$G$24,6,FALSE()),0))</f>
        <v>0</v>
      </c>
      <c r="F206" s="27" t="n">
        <f aca="false">IF($A206="","",IFERROR(VLOOKUP(D206,Schichten!$A$5:$G$24,7,FALSE()),0))</f>
        <v>0</v>
      </c>
      <c r="G206" s="28" t="str">
        <f aca="false">IF($A206="","",IF(N(E206)=0,"",$A206+VLOOKUP(D206,Schichten!$A$5:$G$24,3,FALSE())))</f>
        <v/>
      </c>
      <c r="H206" s="28" t="str">
        <f aca="false">IF(G206="","",$A206+VLOOKUP(D206,Schichten!$A$5:$G$24,4,FALSE())+IF(VLOOKUP(D206,Schichten!$A$5:$G$24,4,FALSE())&lt;=VLOOKUP(D206,Schichten!$A$5:$G$24,3,FALSE()),1,0))</f>
        <v/>
      </c>
      <c r="I206" s="28" t="n">
        <f aca="false">IF($A206="","",IF(N(E205)&gt;0,H205,I205))</f>
        <v>46589.25</v>
      </c>
      <c r="J206" s="27" t="str">
        <f aca="false">IF(OR(G206="",I206=""),"",(G206-I206)*24)</f>
        <v/>
      </c>
      <c r="K206" s="21" t="n">
        <f aca="false">IF($A206="","",IF(N(E206)&gt;0,N(K205)+1,0))</f>
        <v>0</v>
      </c>
      <c r="L206" s="21" t="n">
        <f aca="false">IF($A206="","",IF(N(F206)&gt;0,N(L205)+1,0))</f>
        <v>0</v>
      </c>
      <c r="M206" s="21" t="str">
        <f aca="false">IF($A206="","",IF(WEEKDAY($A206,2)&lt;&gt;7,"",IF(AND(OR(G206="",N(G206)&gt;=$A206+16/24,N(H206)&lt;=$A206+6/24),OR(I206="",N(I206)&lt;=$A206+6/24)),1,0)))</f>
        <v/>
      </c>
      <c r="N206" s="26" t="str">
        <f aca="false">IF($A206="","",IF(INDEX(Muster!$C$7:$BF$7,1,MOD($A206-Einstellungen!$C$6,Einstellungen!$C$7)+1)="","-",INDEX(Muster!$C$7:$BF$7,1,MOD($A206-Einstellungen!$C$6,Einstellungen!$C$7)+1)))</f>
        <v>N</v>
      </c>
      <c r="O206" s="27" t="n">
        <f aca="false">IF($A206="","",IFERROR(VLOOKUP(N206,Schichten!$A$5:$G$24,6,FALSE()),0))</f>
        <v>8</v>
      </c>
      <c r="P206" s="27" t="n">
        <f aca="false">IF($A206="","",IFERROR(VLOOKUP(N206,Schichten!$A$5:$G$24,7,FALSE()),0))</f>
        <v>7</v>
      </c>
      <c r="Q206" s="28" t="n">
        <f aca="false">IF($A206="","",IF(N(O206)=0,"",$A206+VLOOKUP(N206,Schichten!$A$5:$G$24,3,FALSE())))</f>
        <v>46589.9166666667</v>
      </c>
      <c r="R206" s="28" t="n">
        <f aca="false">IF(Q206="","",$A206+VLOOKUP(N206,Schichten!$A$5:$G$24,4,FALSE())+IF(VLOOKUP(N206,Schichten!$A$5:$G$24,4,FALSE())&lt;=VLOOKUP(N206,Schichten!$A$5:$G$24,3,FALSE()),1,0))</f>
        <v>46590.25</v>
      </c>
      <c r="S206" s="28" t="n">
        <f aca="false">IF($A206="","",IF(N(O205)&gt;0,R205,S205))</f>
        <v>46588.9166666667</v>
      </c>
      <c r="T206" s="27" t="n">
        <f aca="false">IF(OR(Q206="",S206=""),"",(Q206-S206)*24)</f>
        <v>24</v>
      </c>
      <c r="U206" s="21" t="n">
        <f aca="false">IF($A206="","",IF(N(O206)&gt;0,N(U205)+1,0))</f>
        <v>5</v>
      </c>
      <c r="V206" s="21" t="n">
        <f aca="false">IF($A206="","",IF(N(P206)&gt;0,N(V205)+1,0))</f>
        <v>1</v>
      </c>
      <c r="W206" s="21" t="str">
        <f aca="false">IF($A206="","",IF(WEEKDAY($A206,2)&lt;&gt;7,"",IF(AND(OR(Q206="",N(Q206)&gt;=$A206+16/24,N(R206)&lt;=$A206+6/24),OR(S206="",N(S206)&lt;=$A206+6/24)),1,0)))</f>
        <v/>
      </c>
      <c r="X206" s="26" t="str">
        <f aca="false">IF($A206="","",IF(INDEX(Muster!$C$8:$BF$8,1,MOD($A206-Einstellungen!$C$6,Einstellungen!$C$7)+1)="","-",INDEX(Muster!$C$8:$BF$8,1,MOD($A206-Einstellungen!$C$6,Einstellungen!$C$7)+1)))</f>
        <v>S</v>
      </c>
      <c r="Y206" s="27" t="n">
        <f aca="false">IF($A206="","",IFERROR(VLOOKUP(X206,Schichten!$A$5:$G$24,6,FALSE()),0))</f>
        <v>8</v>
      </c>
      <c r="Z206" s="27" t="n">
        <f aca="false">IF($A206="","",IFERROR(VLOOKUP(X206,Schichten!$A$5:$G$24,7,FALSE()),0))</f>
        <v>0</v>
      </c>
      <c r="AA206" s="28" t="n">
        <f aca="false">IF($A206="","",IF(N(Y206)=0,"",$A206+VLOOKUP(X206,Schichten!$A$5:$G$24,3,FALSE())))</f>
        <v>46589.5833333333</v>
      </c>
      <c r="AB206" s="28" t="n">
        <f aca="false">IF(AA206="","",$A206+VLOOKUP(X206,Schichten!$A$5:$G$24,4,FALSE())+IF(VLOOKUP(X206,Schichten!$A$5:$G$24,4,FALSE())&lt;=VLOOKUP(X206,Schichten!$A$5:$G$24,3,FALSE()),1,0))</f>
        <v>46589.9166666667</v>
      </c>
      <c r="AC206" s="28" t="n">
        <f aca="false">IF($A206="","",IF(N(Y205)&gt;0,AB205,AC205))</f>
        <v>46588.5833333333</v>
      </c>
      <c r="AD206" s="27" t="n">
        <f aca="false">IF(OR(AA206="",AC206=""),"",(AA206-AC206)*24)</f>
        <v>24</v>
      </c>
      <c r="AE206" s="21" t="n">
        <f aca="false">IF($A206="","",IF(N(Y206)&gt;0,N(AE205)+1,0))</f>
        <v>3</v>
      </c>
      <c r="AF206" s="21" t="n">
        <f aca="false">IF($A206="","",IF(N(Z206)&gt;0,N(AF205)+1,0))</f>
        <v>0</v>
      </c>
      <c r="AG206" s="21" t="str">
        <f aca="false">IF($A206="","",IF(WEEKDAY($A206,2)&lt;&gt;7,"",IF(AND(OR(AA206="",N(AA206)&gt;=$A206+16/24,N(AB206)&lt;=$A206+6/24),OR(AC206="",N(AC206)&lt;=$A206+6/24)),1,0)))</f>
        <v/>
      </c>
      <c r="AH206" s="26" t="str">
        <f aca="false">IF($A206="","",IF(INDEX(Muster!$C$9:$BF$9,1,MOD($A206-Einstellungen!$C$6,Einstellungen!$C$7)+1)="","-",INDEX(Muster!$C$9:$BF$9,1,MOD($A206-Einstellungen!$C$6,Einstellungen!$C$7)+1)))</f>
        <v>F</v>
      </c>
      <c r="AI206" s="27" t="n">
        <f aca="false">IF($A206="","",IFERROR(VLOOKUP(AH206,Schichten!$A$5:$G$24,6,FALSE()),0))</f>
        <v>8</v>
      </c>
      <c r="AJ206" s="27" t="n">
        <f aca="false">IF($A206="","",IFERROR(VLOOKUP(AH206,Schichten!$A$5:$G$24,7,FALSE()),0))</f>
        <v>0</v>
      </c>
      <c r="AK206" s="28" t="n">
        <f aca="false">IF($A206="","",IF(N(AI206)=0,"",$A206+VLOOKUP(AH206,Schichten!$A$5:$G$24,3,FALSE())))</f>
        <v>46589.25</v>
      </c>
      <c r="AL206" s="28" t="n">
        <f aca="false">IF(AK206="","",$A206+VLOOKUP(AH206,Schichten!$A$5:$G$24,4,FALSE())+IF(VLOOKUP(AH206,Schichten!$A$5:$G$24,4,FALSE())&lt;=VLOOKUP(AH206,Schichten!$A$5:$G$24,3,FALSE()),1,0))</f>
        <v>46589.5833333333</v>
      </c>
      <c r="AM206" s="28" t="n">
        <f aca="false">IF($A206="","",IF(N(AI205)&gt;0,AL205,AM205))</f>
        <v>46587.25</v>
      </c>
      <c r="AN206" s="27" t="n">
        <f aca="false">IF(OR(AK206="",AM206=""),"",(AK206-AM206)*24)</f>
        <v>48</v>
      </c>
      <c r="AO206" s="21" t="n">
        <f aca="false">IF($A206="","",IF(N(AI206)&gt;0,N(AO205)+1,0))</f>
        <v>1</v>
      </c>
      <c r="AP206" s="21" t="n">
        <f aca="false">IF($A206="","",IF(N(AJ206)&gt;0,N(AP205)+1,0))</f>
        <v>0</v>
      </c>
      <c r="AQ206" s="21" t="str">
        <f aca="false">IF($A206="","",IF(WEEKDAY($A206,2)&lt;&gt;7,"",IF(AND(OR(AK206="",N(AK206)&gt;=$A206+16/24,N(AL206)&lt;=$A206+6/24),OR(AM206="",N(AM206)&lt;=$A206+6/24)),1,0)))</f>
        <v/>
      </c>
      <c r="AR206" s="26" t="str">
        <f aca="false">IF($A206="","",IF(INDEX(Muster!$C$10:$BF$10,1,MOD($A206-Einstellungen!$C$6,Einstellungen!$C$7)+1)="","-",INDEX(Muster!$C$10:$BF$10,1,MOD($A206-Einstellungen!$C$6,Einstellungen!$C$7)+1)))</f>
        <v>-</v>
      </c>
      <c r="AS206" s="27" t="n">
        <f aca="false">IF($A206="","",IFERROR(VLOOKUP(AR206,Schichten!$A$5:$G$24,6,FALSE()),0))</f>
        <v>0</v>
      </c>
      <c r="AT206" s="27" t="n">
        <f aca="false">IF($A206="","",IFERROR(VLOOKUP(AR206,Schichten!$A$5:$G$24,7,FALSE()),0))</f>
        <v>0</v>
      </c>
      <c r="AU206" s="28" t="str">
        <f aca="false">IF($A206="","",IF(N(AS206)=0,"",$A206+VLOOKUP(AR206,Schichten!$A$5:$G$24,3,FALSE())))</f>
        <v/>
      </c>
      <c r="AV206" s="28" t="str">
        <f aca="false">IF(AU206="","",$A206+VLOOKUP(AR206,Schichten!$A$5:$G$24,4,FALSE())+IF(VLOOKUP(AR206,Schichten!$A$5:$G$24,4,FALSE())&lt;=VLOOKUP(AR206,Schichten!$A$5:$G$24,3,FALSE()),1,0))</f>
        <v/>
      </c>
      <c r="AW206" s="28" t="str">
        <f aca="false">IF($A206="","",IF(N(AS205)&gt;0,AV205,AW205))</f>
        <v/>
      </c>
      <c r="AX206" s="27" t="str">
        <f aca="false">IF(OR(AU206="",AW206=""),"",(AU206-AW206)*24)</f>
        <v/>
      </c>
      <c r="AY206" s="21" t="n">
        <f aca="false">IF($A206="","",IF(N(AS206)&gt;0,N(AY205)+1,0))</f>
        <v>0</v>
      </c>
      <c r="AZ206" s="21" t="n">
        <f aca="false">IF($A206="","",IF(N(AT206)&gt;0,N(AZ205)+1,0))</f>
        <v>0</v>
      </c>
      <c r="BA206" s="21" t="str">
        <f aca="false">IF($A206="","",IF(WEEKDAY($A206,2)&lt;&gt;7,"",IF(AND(OR(AU206="",N(AU206)&gt;=$A206+16/24,N(AV206)&lt;=$A206+6/24),OR(AW206="",N(AW206)&lt;=$A206+6/24)),1,0)))</f>
        <v/>
      </c>
    </row>
    <row r="207" customFormat="false" ht="15" hidden="false" customHeight="false" outlineLevel="0" collapsed="false">
      <c r="A207" s="25" t="n">
        <f aca="false">IF(YEAR(DATE(Einstellungen!$C$4,1,1)+202)=Einstellungen!$C$4,DATE(Einstellungen!$C$4,1,1)+202,"")</f>
        <v>46590</v>
      </c>
      <c r="B207" s="26" t="str">
        <f aca="false">IF($A207="","",CHOOSE(WEEKDAY($A207,2),"Mo","Di","Mi","Do","Fr","Sa","So"))</f>
        <v>Do</v>
      </c>
      <c r="C207" s="26" t="n">
        <f aca="false">IF($A207="","",MONTH($A207))</f>
        <v>7</v>
      </c>
      <c r="D207" s="26" t="str">
        <f aca="false">IF($A207="","",IF(INDEX(Muster!$C$6:$BF$6,1,MOD($A207-Einstellungen!$C$6,Einstellungen!$C$7)+1)="","-",INDEX(Muster!$C$6:$BF$6,1,MOD($A207-Einstellungen!$C$6,Einstellungen!$C$7)+1)))</f>
        <v>-</v>
      </c>
      <c r="E207" s="27" t="n">
        <f aca="false">IF($A207="","",IFERROR(VLOOKUP(D207,Schichten!$A$5:$G$24,6,FALSE()),0))</f>
        <v>0</v>
      </c>
      <c r="F207" s="27" t="n">
        <f aca="false">IF($A207="","",IFERROR(VLOOKUP(D207,Schichten!$A$5:$G$24,7,FALSE()),0))</f>
        <v>0</v>
      </c>
      <c r="G207" s="28" t="str">
        <f aca="false">IF($A207="","",IF(N(E207)=0,"",$A207+VLOOKUP(D207,Schichten!$A$5:$G$24,3,FALSE())))</f>
        <v/>
      </c>
      <c r="H207" s="28" t="str">
        <f aca="false">IF(G207="","",$A207+VLOOKUP(D207,Schichten!$A$5:$G$24,4,FALSE())+IF(VLOOKUP(D207,Schichten!$A$5:$G$24,4,FALSE())&lt;=VLOOKUP(D207,Schichten!$A$5:$G$24,3,FALSE()),1,0))</f>
        <v/>
      </c>
      <c r="I207" s="28" t="n">
        <f aca="false">IF($A207="","",IF(N(E206)&gt;0,H206,I206))</f>
        <v>46589.25</v>
      </c>
      <c r="J207" s="27" t="str">
        <f aca="false">IF(OR(G207="",I207=""),"",(G207-I207)*24)</f>
        <v/>
      </c>
      <c r="K207" s="21" t="n">
        <f aca="false">IF($A207="","",IF(N(E207)&gt;0,N(K206)+1,0))</f>
        <v>0</v>
      </c>
      <c r="L207" s="21" t="n">
        <f aca="false">IF($A207="","",IF(N(F207)&gt;0,N(L206)+1,0))</f>
        <v>0</v>
      </c>
      <c r="M207" s="21" t="str">
        <f aca="false">IF($A207="","",IF(WEEKDAY($A207,2)&lt;&gt;7,"",IF(AND(OR(G207="",N(G207)&gt;=$A207+16/24,N(H207)&lt;=$A207+6/24),OR(I207="",N(I207)&lt;=$A207+6/24)),1,0)))</f>
        <v/>
      </c>
      <c r="N207" s="26" t="str">
        <f aca="false">IF($A207="","",IF(INDEX(Muster!$C$7:$BF$7,1,MOD($A207-Einstellungen!$C$6,Einstellungen!$C$7)+1)="","-",INDEX(Muster!$C$7:$BF$7,1,MOD($A207-Einstellungen!$C$6,Einstellungen!$C$7)+1)))</f>
        <v>N</v>
      </c>
      <c r="O207" s="27" t="n">
        <f aca="false">IF($A207="","",IFERROR(VLOOKUP(N207,Schichten!$A$5:$G$24,6,FALSE()),0))</f>
        <v>8</v>
      </c>
      <c r="P207" s="27" t="n">
        <f aca="false">IF($A207="","",IFERROR(VLOOKUP(N207,Schichten!$A$5:$G$24,7,FALSE()),0))</f>
        <v>7</v>
      </c>
      <c r="Q207" s="28" t="n">
        <f aca="false">IF($A207="","",IF(N(O207)=0,"",$A207+VLOOKUP(N207,Schichten!$A$5:$G$24,3,FALSE())))</f>
        <v>46590.9166666667</v>
      </c>
      <c r="R207" s="28" t="n">
        <f aca="false">IF(Q207="","",$A207+VLOOKUP(N207,Schichten!$A$5:$G$24,4,FALSE())+IF(VLOOKUP(N207,Schichten!$A$5:$G$24,4,FALSE())&lt;=VLOOKUP(N207,Schichten!$A$5:$G$24,3,FALSE()),1,0))</f>
        <v>46591.25</v>
      </c>
      <c r="S207" s="28" t="n">
        <f aca="false">IF($A207="","",IF(N(O206)&gt;0,R206,S206))</f>
        <v>46590.25</v>
      </c>
      <c r="T207" s="27" t="n">
        <f aca="false">IF(OR(Q207="",S207=""),"",(Q207-S207)*24)</f>
        <v>16</v>
      </c>
      <c r="U207" s="21" t="n">
        <f aca="false">IF($A207="","",IF(N(O207)&gt;0,N(U206)+1,0))</f>
        <v>6</v>
      </c>
      <c r="V207" s="21" t="n">
        <f aca="false">IF($A207="","",IF(N(P207)&gt;0,N(V206)+1,0))</f>
        <v>2</v>
      </c>
      <c r="W207" s="21" t="str">
        <f aca="false">IF($A207="","",IF(WEEKDAY($A207,2)&lt;&gt;7,"",IF(AND(OR(Q207="",N(Q207)&gt;=$A207+16/24,N(R207)&lt;=$A207+6/24),OR(S207="",N(S207)&lt;=$A207+6/24)),1,0)))</f>
        <v/>
      </c>
      <c r="X207" s="26" t="str">
        <f aca="false">IF($A207="","",IF(INDEX(Muster!$C$8:$BF$8,1,MOD($A207-Einstellungen!$C$6,Einstellungen!$C$7)+1)="","-",INDEX(Muster!$C$8:$BF$8,1,MOD($A207-Einstellungen!$C$6,Einstellungen!$C$7)+1)))</f>
        <v>S</v>
      </c>
      <c r="Y207" s="27" t="n">
        <f aca="false">IF($A207="","",IFERROR(VLOOKUP(X207,Schichten!$A$5:$G$24,6,FALSE()),0))</f>
        <v>8</v>
      </c>
      <c r="Z207" s="27" t="n">
        <f aca="false">IF($A207="","",IFERROR(VLOOKUP(X207,Schichten!$A$5:$G$24,7,FALSE()),0))</f>
        <v>0</v>
      </c>
      <c r="AA207" s="28" t="n">
        <f aca="false">IF($A207="","",IF(N(Y207)=0,"",$A207+VLOOKUP(X207,Schichten!$A$5:$G$24,3,FALSE())))</f>
        <v>46590.5833333333</v>
      </c>
      <c r="AB207" s="28" t="n">
        <f aca="false">IF(AA207="","",$A207+VLOOKUP(X207,Schichten!$A$5:$G$24,4,FALSE())+IF(VLOOKUP(X207,Schichten!$A$5:$G$24,4,FALSE())&lt;=VLOOKUP(X207,Schichten!$A$5:$G$24,3,FALSE()),1,0))</f>
        <v>46590.9166666667</v>
      </c>
      <c r="AC207" s="28" t="n">
        <f aca="false">IF($A207="","",IF(N(Y206)&gt;0,AB206,AC206))</f>
        <v>46589.9166666667</v>
      </c>
      <c r="AD207" s="27" t="n">
        <f aca="false">IF(OR(AA207="",AC207=""),"",(AA207-AC207)*24)</f>
        <v>16</v>
      </c>
      <c r="AE207" s="21" t="n">
        <f aca="false">IF($A207="","",IF(N(Y207)&gt;0,N(AE206)+1,0))</f>
        <v>4</v>
      </c>
      <c r="AF207" s="21" t="n">
        <f aca="false">IF($A207="","",IF(N(Z207)&gt;0,N(AF206)+1,0))</f>
        <v>0</v>
      </c>
      <c r="AG207" s="21" t="str">
        <f aca="false">IF($A207="","",IF(WEEKDAY($A207,2)&lt;&gt;7,"",IF(AND(OR(AA207="",N(AA207)&gt;=$A207+16/24,N(AB207)&lt;=$A207+6/24),OR(AC207="",N(AC207)&lt;=$A207+6/24)),1,0)))</f>
        <v/>
      </c>
      <c r="AH207" s="26" t="str">
        <f aca="false">IF($A207="","",IF(INDEX(Muster!$C$9:$BF$9,1,MOD($A207-Einstellungen!$C$6,Einstellungen!$C$7)+1)="","-",INDEX(Muster!$C$9:$BF$9,1,MOD($A207-Einstellungen!$C$6,Einstellungen!$C$7)+1)))</f>
        <v>F</v>
      </c>
      <c r="AI207" s="27" t="n">
        <f aca="false">IF($A207="","",IFERROR(VLOOKUP(AH207,Schichten!$A$5:$G$24,6,FALSE()),0))</f>
        <v>8</v>
      </c>
      <c r="AJ207" s="27" t="n">
        <f aca="false">IF($A207="","",IFERROR(VLOOKUP(AH207,Schichten!$A$5:$G$24,7,FALSE()),0))</f>
        <v>0</v>
      </c>
      <c r="AK207" s="28" t="n">
        <f aca="false">IF($A207="","",IF(N(AI207)=0,"",$A207+VLOOKUP(AH207,Schichten!$A$5:$G$24,3,FALSE())))</f>
        <v>46590.25</v>
      </c>
      <c r="AL207" s="28" t="n">
        <f aca="false">IF(AK207="","",$A207+VLOOKUP(AH207,Schichten!$A$5:$G$24,4,FALSE())+IF(VLOOKUP(AH207,Schichten!$A$5:$G$24,4,FALSE())&lt;=VLOOKUP(AH207,Schichten!$A$5:$G$24,3,FALSE()),1,0))</f>
        <v>46590.5833333333</v>
      </c>
      <c r="AM207" s="28" t="n">
        <f aca="false">IF($A207="","",IF(N(AI206)&gt;0,AL206,AM206))</f>
        <v>46589.5833333333</v>
      </c>
      <c r="AN207" s="27" t="n">
        <f aca="false">IF(OR(AK207="",AM207=""),"",(AK207-AM207)*24)</f>
        <v>16</v>
      </c>
      <c r="AO207" s="21" t="n">
        <f aca="false">IF($A207="","",IF(N(AI207)&gt;0,N(AO206)+1,0))</f>
        <v>2</v>
      </c>
      <c r="AP207" s="21" t="n">
        <f aca="false">IF($A207="","",IF(N(AJ207)&gt;0,N(AP206)+1,0))</f>
        <v>0</v>
      </c>
      <c r="AQ207" s="21" t="str">
        <f aca="false">IF($A207="","",IF(WEEKDAY($A207,2)&lt;&gt;7,"",IF(AND(OR(AK207="",N(AK207)&gt;=$A207+16/24,N(AL207)&lt;=$A207+6/24),OR(AM207="",N(AM207)&lt;=$A207+6/24)),1,0)))</f>
        <v/>
      </c>
      <c r="AR207" s="26" t="str">
        <f aca="false">IF($A207="","",IF(INDEX(Muster!$C$10:$BF$10,1,MOD($A207-Einstellungen!$C$6,Einstellungen!$C$7)+1)="","-",INDEX(Muster!$C$10:$BF$10,1,MOD($A207-Einstellungen!$C$6,Einstellungen!$C$7)+1)))</f>
        <v>-</v>
      </c>
      <c r="AS207" s="27" t="n">
        <f aca="false">IF($A207="","",IFERROR(VLOOKUP(AR207,Schichten!$A$5:$G$24,6,FALSE()),0))</f>
        <v>0</v>
      </c>
      <c r="AT207" s="27" t="n">
        <f aca="false">IF($A207="","",IFERROR(VLOOKUP(AR207,Schichten!$A$5:$G$24,7,FALSE()),0))</f>
        <v>0</v>
      </c>
      <c r="AU207" s="28" t="str">
        <f aca="false">IF($A207="","",IF(N(AS207)=0,"",$A207+VLOOKUP(AR207,Schichten!$A$5:$G$24,3,FALSE())))</f>
        <v/>
      </c>
      <c r="AV207" s="28" t="str">
        <f aca="false">IF(AU207="","",$A207+VLOOKUP(AR207,Schichten!$A$5:$G$24,4,FALSE())+IF(VLOOKUP(AR207,Schichten!$A$5:$G$24,4,FALSE())&lt;=VLOOKUP(AR207,Schichten!$A$5:$G$24,3,FALSE()),1,0))</f>
        <v/>
      </c>
      <c r="AW207" s="28" t="str">
        <f aca="false">IF($A207="","",IF(N(AS206)&gt;0,AV206,AW206))</f>
        <v/>
      </c>
      <c r="AX207" s="27" t="str">
        <f aca="false">IF(OR(AU207="",AW207=""),"",(AU207-AW207)*24)</f>
        <v/>
      </c>
      <c r="AY207" s="21" t="n">
        <f aca="false">IF($A207="","",IF(N(AS207)&gt;0,N(AY206)+1,0))</f>
        <v>0</v>
      </c>
      <c r="AZ207" s="21" t="n">
        <f aca="false">IF($A207="","",IF(N(AT207)&gt;0,N(AZ206)+1,0))</f>
        <v>0</v>
      </c>
      <c r="BA207" s="21" t="str">
        <f aca="false">IF($A207="","",IF(WEEKDAY($A207,2)&lt;&gt;7,"",IF(AND(OR(AU207="",N(AU207)&gt;=$A207+16/24,N(AV207)&lt;=$A207+6/24),OR(AW207="",N(AW207)&lt;=$A207+6/24)),1,0)))</f>
        <v/>
      </c>
    </row>
    <row r="208" customFormat="false" ht="15" hidden="false" customHeight="false" outlineLevel="0" collapsed="false">
      <c r="A208" s="25" t="n">
        <f aca="false">IF(YEAR(DATE(Einstellungen!$C$4,1,1)+203)=Einstellungen!$C$4,DATE(Einstellungen!$C$4,1,1)+203,"")</f>
        <v>46591</v>
      </c>
      <c r="B208" s="26" t="str">
        <f aca="false">IF($A208="","",CHOOSE(WEEKDAY($A208,2),"Mo","Di","Mi","Do","Fr","Sa","So"))</f>
        <v>Fr</v>
      </c>
      <c r="C208" s="26" t="n">
        <f aca="false">IF($A208="","",MONTH($A208))</f>
        <v>7</v>
      </c>
      <c r="D208" s="26" t="str">
        <f aca="false">IF($A208="","",IF(INDEX(Muster!$C$6:$BF$6,1,MOD($A208-Einstellungen!$C$6,Einstellungen!$C$7)+1)="","-",INDEX(Muster!$C$6:$BF$6,1,MOD($A208-Einstellungen!$C$6,Einstellungen!$C$7)+1)))</f>
        <v>F</v>
      </c>
      <c r="E208" s="27" t="n">
        <f aca="false">IF($A208="","",IFERROR(VLOOKUP(D208,Schichten!$A$5:$G$24,6,FALSE()),0))</f>
        <v>8</v>
      </c>
      <c r="F208" s="27" t="n">
        <f aca="false">IF($A208="","",IFERROR(VLOOKUP(D208,Schichten!$A$5:$G$24,7,FALSE()),0))</f>
        <v>0</v>
      </c>
      <c r="G208" s="28" t="n">
        <f aca="false">IF($A208="","",IF(N(E208)=0,"",$A208+VLOOKUP(D208,Schichten!$A$5:$G$24,3,FALSE())))</f>
        <v>46591.25</v>
      </c>
      <c r="H208" s="28" t="n">
        <f aca="false">IF(G208="","",$A208+VLOOKUP(D208,Schichten!$A$5:$G$24,4,FALSE())+IF(VLOOKUP(D208,Schichten!$A$5:$G$24,4,FALSE())&lt;=VLOOKUP(D208,Schichten!$A$5:$G$24,3,FALSE()),1,0))</f>
        <v>46591.5833333333</v>
      </c>
      <c r="I208" s="28" t="n">
        <f aca="false">IF($A208="","",IF(N(E207)&gt;0,H207,I207))</f>
        <v>46589.25</v>
      </c>
      <c r="J208" s="27" t="n">
        <f aca="false">IF(OR(G208="",I208=""),"",(G208-I208)*24)</f>
        <v>48</v>
      </c>
      <c r="K208" s="21" t="n">
        <f aca="false">IF($A208="","",IF(N(E208)&gt;0,N(K207)+1,0))</f>
        <v>1</v>
      </c>
      <c r="L208" s="21" t="n">
        <f aca="false">IF($A208="","",IF(N(F208)&gt;0,N(L207)+1,0))</f>
        <v>0</v>
      </c>
      <c r="M208" s="21" t="str">
        <f aca="false">IF($A208="","",IF(WEEKDAY($A208,2)&lt;&gt;7,"",IF(AND(OR(G208="",N(G208)&gt;=$A208+16/24,N(H208)&lt;=$A208+6/24),OR(I208="",N(I208)&lt;=$A208+6/24)),1,0)))</f>
        <v/>
      </c>
      <c r="N208" s="26" t="str">
        <f aca="false">IF($A208="","",IF(INDEX(Muster!$C$7:$BF$7,1,MOD($A208-Einstellungen!$C$6,Einstellungen!$C$7)+1)="","-",INDEX(Muster!$C$7:$BF$7,1,MOD($A208-Einstellungen!$C$6,Einstellungen!$C$7)+1)))</f>
        <v>-</v>
      </c>
      <c r="O208" s="27" t="n">
        <f aca="false">IF($A208="","",IFERROR(VLOOKUP(N208,Schichten!$A$5:$G$24,6,FALSE()),0))</f>
        <v>0</v>
      </c>
      <c r="P208" s="27" t="n">
        <f aca="false">IF($A208="","",IFERROR(VLOOKUP(N208,Schichten!$A$5:$G$24,7,FALSE()),0))</f>
        <v>0</v>
      </c>
      <c r="Q208" s="28" t="str">
        <f aca="false">IF($A208="","",IF(N(O208)=0,"",$A208+VLOOKUP(N208,Schichten!$A$5:$G$24,3,FALSE())))</f>
        <v/>
      </c>
      <c r="R208" s="28" t="str">
        <f aca="false">IF(Q208="","",$A208+VLOOKUP(N208,Schichten!$A$5:$G$24,4,FALSE())+IF(VLOOKUP(N208,Schichten!$A$5:$G$24,4,FALSE())&lt;=VLOOKUP(N208,Schichten!$A$5:$G$24,3,FALSE()),1,0))</f>
        <v/>
      </c>
      <c r="S208" s="28" t="n">
        <f aca="false">IF($A208="","",IF(N(O207)&gt;0,R207,S207))</f>
        <v>46591.25</v>
      </c>
      <c r="T208" s="27" t="str">
        <f aca="false">IF(OR(Q208="",S208=""),"",(Q208-S208)*24)</f>
        <v/>
      </c>
      <c r="U208" s="21" t="n">
        <f aca="false">IF($A208="","",IF(N(O208)&gt;0,N(U207)+1,0))</f>
        <v>0</v>
      </c>
      <c r="V208" s="21" t="n">
        <f aca="false">IF($A208="","",IF(N(P208)&gt;0,N(V207)+1,0))</f>
        <v>0</v>
      </c>
      <c r="W208" s="21" t="str">
        <f aca="false">IF($A208="","",IF(WEEKDAY($A208,2)&lt;&gt;7,"",IF(AND(OR(Q208="",N(Q208)&gt;=$A208+16/24,N(R208)&lt;=$A208+6/24),OR(S208="",N(S208)&lt;=$A208+6/24)),1,0)))</f>
        <v/>
      </c>
      <c r="X208" s="26" t="str">
        <f aca="false">IF($A208="","",IF(INDEX(Muster!$C$8:$BF$8,1,MOD($A208-Einstellungen!$C$6,Einstellungen!$C$7)+1)="","-",INDEX(Muster!$C$8:$BF$8,1,MOD($A208-Einstellungen!$C$6,Einstellungen!$C$7)+1)))</f>
        <v>N</v>
      </c>
      <c r="Y208" s="27" t="n">
        <f aca="false">IF($A208="","",IFERROR(VLOOKUP(X208,Schichten!$A$5:$G$24,6,FALSE()),0))</f>
        <v>8</v>
      </c>
      <c r="Z208" s="27" t="n">
        <f aca="false">IF($A208="","",IFERROR(VLOOKUP(X208,Schichten!$A$5:$G$24,7,FALSE()),0))</f>
        <v>7</v>
      </c>
      <c r="AA208" s="28" t="n">
        <f aca="false">IF($A208="","",IF(N(Y208)=0,"",$A208+VLOOKUP(X208,Schichten!$A$5:$G$24,3,FALSE())))</f>
        <v>46591.9166666667</v>
      </c>
      <c r="AB208" s="28" t="n">
        <f aca="false">IF(AA208="","",$A208+VLOOKUP(X208,Schichten!$A$5:$G$24,4,FALSE())+IF(VLOOKUP(X208,Schichten!$A$5:$G$24,4,FALSE())&lt;=VLOOKUP(X208,Schichten!$A$5:$G$24,3,FALSE()),1,0))</f>
        <v>46592.25</v>
      </c>
      <c r="AC208" s="28" t="n">
        <f aca="false">IF($A208="","",IF(N(Y207)&gt;0,AB207,AC207))</f>
        <v>46590.9166666667</v>
      </c>
      <c r="AD208" s="27" t="n">
        <f aca="false">IF(OR(AA208="",AC208=""),"",(AA208-AC208)*24)</f>
        <v>24</v>
      </c>
      <c r="AE208" s="21" t="n">
        <f aca="false">IF($A208="","",IF(N(Y208)&gt;0,N(AE207)+1,0))</f>
        <v>5</v>
      </c>
      <c r="AF208" s="21" t="n">
        <f aca="false">IF($A208="","",IF(N(Z208)&gt;0,N(AF207)+1,0))</f>
        <v>1</v>
      </c>
      <c r="AG208" s="21" t="str">
        <f aca="false">IF($A208="","",IF(WEEKDAY($A208,2)&lt;&gt;7,"",IF(AND(OR(AA208="",N(AA208)&gt;=$A208+16/24,N(AB208)&lt;=$A208+6/24),OR(AC208="",N(AC208)&lt;=$A208+6/24)),1,0)))</f>
        <v/>
      </c>
      <c r="AH208" s="26" t="str">
        <f aca="false">IF($A208="","",IF(INDEX(Muster!$C$9:$BF$9,1,MOD($A208-Einstellungen!$C$6,Einstellungen!$C$7)+1)="","-",INDEX(Muster!$C$9:$BF$9,1,MOD($A208-Einstellungen!$C$6,Einstellungen!$C$7)+1)))</f>
        <v>S</v>
      </c>
      <c r="AI208" s="27" t="n">
        <f aca="false">IF($A208="","",IFERROR(VLOOKUP(AH208,Schichten!$A$5:$G$24,6,FALSE()),0))</f>
        <v>8</v>
      </c>
      <c r="AJ208" s="27" t="n">
        <f aca="false">IF($A208="","",IFERROR(VLOOKUP(AH208,Schichten!$A$5:$G$24,7,FALSE()),0))</f>
        <v>0</v>
      </c>
      <c r="AK208" s="28" t="n">
        <f aca="false">IF($A208="","",IF(N(AI208)=0,"",$A208+VLOOKUP(AH208,Schichten!$A$5:$G$24,3,FALSE())))</f>
        <v>46591.5833333333</v>
      </c>
      <c r="AL208" s="28" t="n">
        <f aca="false">IF(AK208="","",$A208+VLOOKUP(AH208,Schichten!$A$5:$G$24,4,FALSE())+IF(VLOOKUP(AH208,Schichten!$A$5:$G$24,4,FALSE())&lt;=VLOOKUP(AH208,Schichten!$A$5:$G$24,3,FALSE()),1,0))</f>
        <v>46591.9166666667</v>
      </c>
      <c r="AM208" s="28" t="n">
        <f aca="false">IF($A208="","",IF(N(AI207)&gt;0,AL207,AM207))</f>
        <v>46590.5833333333</v>
      </c>
      <c r="AN208" s="27" t="n">
        <f aca="false">IF(OR(AK208="",AM208=""),"",(AK208-AM208)*24)</f>
        <v>24</v>
      </c>
      <c r="AO208" s="21" t="n">
        <f aca="false">IF($A208="","",IF(N(AI208)&gt;0,N(AO207)+1,0))</f>
        <v>3</v>
      </c>
      <c r="AP208" s="21" t="n">
        <f aca="false">IF($A208="","",IF(N(AJ208)&gt;0,N(AP207)+1,0))</f>
        <v>0</v>
      </c>
      <c r="AQ208" s="21" t="str">
        <f aca="false">IF($A208="","",IF(WEEKDAY($A208,2)&lt;&gt;7,"",IF(AND(OR(AK208="",N(AK208)&gt;=$A208+16/24,N(AL208)&lt;=$A208+6/24),OR(AM208="",N(AM208)&lt;=$A208+6/24)),1,0)))</f>
        <v/>
      </c>
      <c r="AR208" s="26" t="str">
        <f aca="false">IF($A208="","",IF(INDEX(Muster!$C$10:$BF$10,1,MOD($A208-Einstellungen!$C$6,Einstellungen!$C$7)+1)="","-",INDEX(Muster!$C$10:$BF$10,1,MOD($A208-Einstellungen!$C$6,Einstellungen!$C$7)+1)))</f>
        <v>-</v>
      </c>
      <c r="AS208" s="27" t="n">
        <f aca="false">IF($A208="","",IFERROR(VLOOKUP(AR208,Schichten!$A$5:$G$24,6,FALSE()),0))</f>
        <v>0</v>
      </c>
      <c r="AT208" s="27" t="n">
        <f aca="false">IF($A208="","",IFERROR(VLOOKUP(AR208,Schichten!$A$5:$G$24,7,FALSE()),0))</f>
        <v>0</v>
      </c>
      <c r="AU208" s="28" t="str">
        <f aca="false">IF($A208="","",IF(N(AS208)=0,"",$A208+VLOOKUP(AR208,Schichten!$A$5:$G$24,3,FALSE())))</f>
        <v/>
      </c>
      <c r="AV208" s="28" t="str">
        <f aca="false">IF(AU208="","",$A208+VLOOKUP(AR208,Schichten!$A$5:$G$24,4,FALSE())+IF(VLOOKUP(AR208,Schichten!$A$5:$G$24,4,FALSE())&lt;=VLOOKUP(AR208,Schichten!$A$5:$G$24,3,FALSE()),1,0))</f>
        <v/>
      </c>
      <c r="AW208" s="28" t="str">
        <f aca="false">IF($A208="","",IF(N(AS207)&gt;0,AV207,AW207))</f>
        <v/>
      </c>
      <c r="AX208" s="27" t="str">
        <f aca="false">IF(OR(AU208="",AW208=""),"",(AU208-AW208)*24)</f>
        <v/>
      </c>
      <c r="AY208" s="21" t="n">
        <f aca="false">IF($A208="","",IF(N(AS208)&gt;0,N(AY207)+1,0))</f>
        <v>0</v>
      </c>
      <c r="AZ208" s="21" t="n">
        <f aca="false">IF($A208="","",IF(N(AT208)&gt;0,N(AZ207)+1,0))</f>
        <v>0</v>
      </c>
      <c r="BA208" s="21" t="str">
        <f aca="false">IF($A208="","",IF(WEEKDAY($A208,2)&lt;&gt;7,"",IF(AND(OR(AU208="",N(AU208)&gt;=$A208+16/24,N(AV208)&lt;=$A208+6/24),OR(AW208="",N(AW208)&lt;=$A208+6/24)),1,0)))</f>
        <v/>
      </c>
    </row>
    <row r="209" customFormat="false" ht="15" hidden="false" customHeight="false" outlineLevel="0" collapsed="false">
      <c r="A209" s="25" t="n">
        <f aca="false">IF(YEAR(DATE(Einstellungen!$C$4,1,1)+204)=Einstellungen!$C$4,DATE(Einstellungen!$C$4,1,1)+204,"")</f>
        <v>46592</v>
      </c>
      <c r="B209" s="26" t="str">
        <f aca="false">IF($A209="","",CHOOSE(WEEKDAY($A209,2),"Mo","Di","Mi","Do","Fr","Sa","So"))</f>
        <v>Sa</v>
      </c>
      <c r="C209" s="26" t="n">
        <f aca="false">IF($A209="","",MONTH($A209))</f>
        <v>7</v>
      </c>
      <c r="D209" s="26" t="str">
        <f aca="false">IF($A209="","",IF(INDEX(Muster!$C$6:$BF$6,1,MOD($A209-Einstellungen!$C$6,Einstellungen!$C$7)+1)="","-",INDEX(Muster!$C$6:$BF$6,1,MOD($A209-Einstellungen!$C$6,Einstellungen!$C$7)+1)))</f>
        <v>F</v>
      </c>
      <c r="E209" s="27" t="n">
        <f aca="false">IF($A209="","",IFERROR(VLOOKUP(D209,Schichten!$A$5:$G$24,6,FALSE()),0))</f>
        <v>8</v>
      </c>
      <c r="F209" s="27" t="n">
        <f aca="false">IF($A209="","",IFERROR(VLOOKUP(D209,Schichten!$A$5:$G$24,7,FALSE()),0))</f>
        <v>0</v>
      </c>
      <c r="G209" s="28" t="n">
        <f aca="false">IF($A209="","",IF(N(E209)=0,"",$A209+VLOOKUP(D209,Schichten!$A$5:$G$24,3,FALSE())))</f>
        <v>46592.25</v>
      </c>
      <c r="H209" s="28" t="n">
        <f aca="false">IF(G209="","",$A209+VLOOKUP(D209,Schichten!$A$5:$G$24,4,FALSE())+IF(VLOOKUP(D209,Schichten!$A$5:$G$24,4,FALSE())&lt;=VLOOKUP(D209,Schichten!$A$5:$G$24,3,FALSE()),1,0))</f>
        <v>46592.5833333333</v>
      </c>
      <c r="I209" s="28" t="n">
        <f aca="false">IF($A209="","",IF(N(E208)&gt;0,H208,I208))</f>
        <v>46591.5833333333</v>
      </c>
      <c r="J209" s="27" t="n">
        <f aca="false">IF(OR(G209="",I209=""),"",(G209-I209)*24)</f>
        <v>16</v>
      </c>
      <c r="K209" s="21" t="n">
        <f aca="false">IF($A209="","",IF(N(E209)&gt;0,N(K208)+1,0))</f>
        <v>2</v>
      </c>
      <c r="L209" s="21" t="n">
        <f aca="false">IF($A209="","",IF(N(F209)&gt;0,N(L208)+1,0))</f>
        <v>0</v>
      </c>
      <c r="M209" s="21" t="str">
        <f aca="false">IF($A209="","",IF(WEEKDAY($A209,2)&lt;&gt;7,"",IF(AND(OR(G209="",N(G209)&gt;=$A209+16/24,N(H209)&lt;=$A209+6/24),OR(I209="",N(I209)&lt;=$A209+6/24)),1,0)))</f>
        <v/>
      </c>
      <c r="N209" s="26" t="str">
        <f aca="false">IF($A209="","",IF(INDEX(Muster!$C$7:$BF$7,1,MOD($A209-Einstellungen!$C$6,Einstellungen!$C$7)+1)="","-",INDEX(Muster!$C$7:$BF$7,1,MOD($A209-Einstellungen!$C$6,Einstellungen!$C$7)+1)))</f>
        <v>-</v>
      </c>
      <c r="O209" s="27" t="n">
        <f aca="false">IF($A209="","",IFERROR(VLOOKUP(N209,Schichten!$A$5:$G$24,6,FALSE()),0))</f>
        <v>0</v>
      </c>
      <c r="P209" s="27" t="n">
        <f aca="false">IF($A209="","",IFERROR(VLOOKUP(N209,Schichten!$A$5:$G$24,7,FALSE()),0))</f>
        <v>0</v>
      </c>
      <c r="Q209" s="28" t="str">
        <f aca="false">IF($A209="","",IF(N(O209)=0,"",$A209+VLOOKUP(N209,Schichten!$A$5:$G$24,3,FALSE())))</f>
        <v/>
      </c>
      <c r="R209" s="28" t="str">
        <f aca="false">IF(Q209="","",$A209+VLOOKUP(N209,Schichten!$A$5:$G$24,4,FALSE())+IF(VLOOKUP(N209,Schichten!$A$5:$G$24,4,FALSE())&lt;=VLOOKUP(N209,Schichten!$A$5:$G$24,3,FALSE()),1,0))</f>
        <v/>
      </c>
      <c r="S209" s="28" t="n">
        <f aca="false">IF($A209="","",IF(N(O208)&gt;0,R208,S208))</f>
        <v>46591.25</v>
      </c>
      <c r="T209" s="27" t="str">
        <f aca="false">IF(OR(Q209="",S209=""),"",(Q209-S209)*24)</f>
        <v/>
      </c>
      <c r="U209" s="21" t="n">
        <f aca="false">IF($A209="","",IF(N(O209)&gt;0,N(U208)+1,0))</f>
        <v>0</v>
      </c>
      <c r="V209" s="21" t="n">
        <f aca="false">IF($A209="","",IF(N(P209)&gt;0,N(V208)+1,0))</f>
        <v>0</v>
      </c>
      <c r="W209" s="21" t="str">
        <f aca="false">IF($A209="","",IF(WEEKDAY($A209,2)&lt;&gt;7,"",IF(AND(OR(Q209="",N(Q209)&gt;=$A209+16/24,N(R209)&lt;=$A209+6/24),OR(S209="",N(S209)&lt;=$A209+6/24)),1,0)))</f>
        <v/>
      </c>
      <c r="X209" s="26" t="str">
        <f aca="false">IF($A209="","",IF(INDEX(Muster!$C$8:$BF$8,1,MOD($A209-Einstellungen!$C$6,Einstellungen!$C$7)+1)="","-",INDEX(Muster!$C$8:$BF$8,1,MOD($A209-Einstellungen!$C$6,Einstellungen!$C$7)+1)))</f>
        <v>N</v>
      </c>
      <c r="Y209" s="27" t="n">
        <f aca="false">IF($A209="","",IFERROR(VLOOKUP(X209,Schichten!$A$5:$G$24,6,FALSE()),0))</f>
        <v>8</v>
      </c>
      <c r="Z209" s="27" t="n">
        <f aca="false">IF($A209="","",IFERROR(VLOOKUP(X209,Schichten!$A$5:$G$24,7,FALSE()),0))</f>
        <v>7</v>
      </c>
      <c r="AA209" s="28" t="n">
        <f aca="false">IF($A209="","",IF(N(Y209)=0,"",$A209+VLOOKUP(X209,Schichten!$A$5:$G$24,3,FALSE())))</f>
        <v>46592.9166666667</v>
      </c>
      <c r="AB209" s="28" t="n">
        <f aca="false">IF(AA209="","",$A209+VLOOKUP(X209,Schichten!$A$5:$G$24,4,FALSE())+IF(VLOOKUP(X209,Schichten!$A$5:$G$24,4,FALSE())&lt;=VLOOKUP(X209,Schichten!$A$5:$G$24,3,FALSE()),1,0))</f>
        <v>46593.25</v>
      </c>
      <c r="AC209" s="28" t="n">
        <f aca="false">IF($A209="","",IF(N(Y208)&gt;0,AB208,AC208))</f>
        <v>46592.25</v>
      </c>
      <c r="AD209" s="27" t="n">
        <f aca="false">IF(OR(AA209="",AC209=""),"",(AA209-AC209)*24)</f>
        <v>16</v>
      </c>
      <c r="AE209" s="21" t="n">
        <f aca="false">IF($A209="","",IF(N(Y209)&gt;0,N(AE208)+1,0))</f>
        <v>6</v>
      </c>
      <c r="AF209" s="21" t="n">
        <f aca="false">IF($A209="","",IF(N(Z209)&gt;0,N(AF208)+1,0))</f>
        <v>2</v>
      </c>
      <c r="AG209" s="21" t="str">
        <f aca="false">IF($A209="","",IF(WEEKDAY($A209,2)&lt;&gt;7,"",IF(AND(OR(AA209="",N(AA209)&gt;=$A209+16/24,N(AB209)&lt;=$A209+6/24),OR(AC209="",N(AC209)&lt;=$A209+6/24)),1,0)))</f>
        <v/>
      </c>
      <c r="AH209" s="26" t="str">
        <f aca="false">IF($A209="","",IF(INDEX(Muster!$C$9:$BF$9,1,MOD($A209-Einstellungen!$C$6,Einstellungen!$C$7)+1)="","-",INDEX(Muster!$C$9:$BF$9,1,MOD($A209-Einstellungen!$C$6,Einstellungen!$C$7)+1)))</f>
        <v>S</v>
      </c>
      <c r="AI209" s="27" t="n">
        <f aca="false">IF($A209="","",IFERROR(VLOOKUP(AH209,Schichten!$A$5:$G$24,6,FALSE()),0))</f>
        <v>8</v>
      </c>
      <c r="AJ209" s="27" t="n">
        <f aca="false">IF($A209="","",IFERROR(VLOOKUP(AH209,Schichten!$A$5:$G$24,7,FALSE()),0))</f>
        <v>0</v>
      </c>
      <c r="AK209" s="28" t="n">
        <f aca="false">IF($A209="","",IF(N(AI209)=0,"",$A209+VLOOKUP(AH209,Schichten!$A$5:$G$24,3,FALSE())))</f>
        <v>46592.5833333333</v>
      </c>
      <c r="AL209" s="28" t="n">
        <f aca="false">IF(AK209="","",$A209+VLOOKUP(AH209,Schichten!$A$5:$G$24,4,FALSE())+IF(VLOOKUP(AH209,Schichten!$A$5:$G$24,4,FALSE())&lt;=VLOOKUP(AH209,Schichten!$A$5:$G$24,3,FALSE()),1,0))</f>
        <v>46592.9166666667</v>
      </c>
      <c r="AM209" s="28" t="n">
        <f aca="false">IF($A209="","",IF(N(AI208)&gt;0,AL208,AM208))</f>
        <v>46591.9166666667</v>
      </c>
      <c r="AN209" s="27" t="n">
        <f aca="false">IF(OR(AK209="",AM209=""),"",(AK209-AM209)*24)</f>
        <v>16</v>
      </c>
      <c r="AO209" s="21" t="n">
        <f aca="false">IF($A209="","",IF(N(AI209)&gt;0,N(AO208)+1,0))</f>
        <v>4</v>
      </c>
      <c r="AP209" s="21" t="n">
        <f aca="false">IF($A209="","",IF(N(AJ209)&gt;0,N(AP208)+1,0))</f>
        <v>0</v>
      </c>
      <c r="AQ209" s="21" t="str">
        <f aca="false">IF($A209="","",IF(WEEKDAY($A209,2)&lt;&gt;7,"",IF(AND(OR(AK209="",N(AK209)&gt;=$A209+16/24,N(AL209)&lt;=$A209+6/24),OR(AM209="",N(AM209)&lt;=$A209+6/24)),1,0)))</f>
        <v/>
      </c>
      <c r="AR209" s="26" t="str">
        <f aca="false">IF($A209="","",IF(INDEX(Muster!$C$10:$BF$10,1,MOD($A209-Einstellungen!$C$6,Einstellungen!$C$7)+1)="","-",INDEX(Muster!$C$10:$BF$10,1,MOD($A209-Einstellungen!$C$6,Einstellungen!$C$7)+1)))</f>
        <v>-</v>
      </c>
      <c r="AS209" s="27" t="n">
        <f aca="false">IF($A209="","",IFERROR(VLOOKUP(AR209,Schichten!$A$5:$G$24,6,FALSE()),0))</f>
        <v>0</v>
      </c>
      <c r="AT209" s="27" t="n">
        <f aca="false">IF($A209="","",IFERROR(VLOOKUP(AR209,Schichten!$A$5:$G$24,7,FALSE()),0))</f>
        <v>0</v>
      </c>
      <c r="AU209" s="28" t="str">
        <f aca="false">IF($A209="","",IF(N(AS209)=0,"",$A209+VLOOKUP(AR209,Schichten!$A$5:$G$24,3,FALSE())))</f>
        <v/>
      </c>
      <c r="AV209" s="28" t="str">
        <f aca="false">IF(AU209="","",$A209+VLOOKUP(AR209,Schichten!$A$5:$G$24,4,FALSE())+IF(VLOOKUP(AR209,Schichten!$A$5:$G$24,4,FALSE())&lt;=VLOOKUP(AR209,Schichten!$A$5:$G$24,3,FALSE()),1,0))</f>
        <v/>
      </c>
      <c r="AW209" s="28" t="str">
        <f aca="false">IF($A209="","",IF(N(AS208)&gt;0,AV208,AW208))</f>
        <v/>
      </c>
      <c r="AX209" s="27" t="str">
        <f aca="false">IF(OR(AU209="",AW209=""),"",(AU209-AW209)*24)</f>
        <v/>
      </c>
      <c r="AY209" s="21" t="n">
        <f aca="false">IF($A209="","",IF(N(AS209)&gt;0,N(AY208)+1,0))</f>
        <v>0</v>
      </c>
      <c r="AZ209" s="21" t="n">
        <f aca="false">IF($A209="","",IF(N(AT209)&gt;0,N(AZ208)+1,0))</f>
        <v>0</v>
      </c>
      <c r="BA209" s="21" t="str">
        <f aca="false">IF($A209="","",IF(WEEKDAY($A209,2)&lt;&gt;7,"",IF(AND(OR(AU209="",N(AU209)&gt;=$A209+16/24,N(AV209)&lt;=$A209+6/24),OR(AW209="",N(AW209)&lt;=$A209+6/24)),1,0)))</f>
        <v/>
      </c>
    </row>
    <row r="210" customFormat="false" ht="15" hidden="false" customHeight="false" outlineLevel="0" collapsed="false">
      <c r="A210" s="25" t="n">
        <f aca="false">IF(YEAR(DATE(Einstellungen!$C$4,1,1)+205)=Einstellungen!$C$4,DATE(Einstellungen!$C$4,1,1)+205,"")</f>
        <v>46593</v>
      </c>
      <c r="B210" s="26" t="str">
        <f aca="false">IF($A210="","",CHOOSE(WEEKDAY($A210,2),"Mo","Di","Mi","Do","Fr","Sa","So"))</f>
        <v>So</v>
      </c>
      <c r="C210" s="26" t="n">
        <f aca="false">IF($A210="","",MONTH($A210))</f>
        <v>7</v>
      </c>
      <c r="D210" s="26" t="str">
        <f aca="false">IF($A210="","",IF(INDEX(Muster!$C$6:$BF$6,1,MOD($A210-Einstellungen!$C$6,Einstellungen!$C$7)+1)="","-",INDEX(Muster!$C$6:$BF$6,1,MOD($A210-Einstellungen!$C$6,Einstellungen!$C$7)+1)))</f>
        <v>S</v>
      </c>
      <c r="E210" s="27" t="n">
        <f aca="false">IF($A210="","",IFERROR(VLOOKUP(D210,Schichten!$A$5:$G$24,6,FALSE()),0))</f>
        <v>8</v>
      </c>
      <c r="F210" s="27" t="n">
        <f aca="false">IF($A210="","",IFERROR(VLOOKUP(D210,Schichten!$A$5:$G$24,7,FALSE()),0))</f>
        <v>0</v>
      </c>
      <c r="G210" s="28" t="n">
        <f aca="false">IF($A210="","",IF(N(E210)=0,"",$A210+VLOOKUP(D210,Schichten!$A$5:$G$24,3,FALSE())))</f>
        <v>46593.5833333333</v>
      </c>
      <c r="H210" s="28" t="n">
        <f aca="false">IF(G210="","",$A210+VLOOKUP(D210,Schichten!$A$5:$G$24,4,FALSE())+IF(VLOOKUP(D210,Schichten!$A$5:$G$24,4,FALSE())&lt;=VLOOKUP(D210,Schichten!$A$5:$G$24,3,FALSE()),1,0))</f>
        <v>46593.9166666667</v>
      </c>
      <c r="I210" s="28" t="n">
        <f aca="false">IF($A210="","",IF(N(E209)&gt;0,H209,I209))</f>
        <v>46592.5833333333</v>
      </c>
      <c r="J210" s="27" t="n">
        <f aca="false">IF(OR(G210="",I210=""),"",(G210-I210)*24)</f>
        <v>24</v>
      </c>
      <c r="K210" s="21" t="n">
        <f aca="false">IF($A210="","",IF(N(E210)&gt;0,N(K209)+1,0))</f>
        <v>3</v>
      </c>
      <c r="L210" s="21" t="n">
        <f aca="false">IF($A210="","",IF(N(F210)&gt;0,N(L209)+1,0))</f>
        <v>0</v>
      </c>
      <c r="M210" s="21" t="n">
        <f aca="false">IF($A210="","",IF(WEEKDAY($A210,2)&lt;&gt;7,"",IF(AND(OR(G210="",N(G210)&gt;=$A210+16/24,N(H210)&lt;=$A210+6/24),OR(I210="",N(I210)&lt;=$A210+6/24)),1,0)))</f>
        <v>0</v>
      </c>
      <c r="N210" s="26" t="str">
        <f aca="false">IF($A210="","",IF(INDEX(Muster!$C$7:$BF$7,1,MOD($A210-Einstellungen!$C$6,Einstellungen!$C$7)+1)="","-",INDEX(Muster!$C$7:$BF$7,1,MOD($A210-Einstellungen!$C$6,Einstellungen!$C$7)+1)))</f>
        <v>F</v>
      </c>
      <c r="O210" s="27" t="n">
        <f aca="false">IF($A210="","",IFERROR(VLOOKUP(N210,Schichten!$A$5:$G$24,6,FALSE()),0))</f>
        <v>8</v>
      </c>
      <c r="P210" s="27" t="n">
        <f aca="false">IF($A210="","",IFERROR(VLOOKUP(N210,Schichten!$A$5:$G$24,7,FALSE()),0))</f>
        <v>0</v>
      </c>
      <c r="Q210" s="28" t="n">
        <f aca="false">IF($A210="","",IF(N(O210)=0,"",$A210+VLOOKUP(N210,Schichten!$A$5:$G$24,3,FALSE())))</f>
        <v>46593.25</v>
      </c>
      <c r="R210" s="28" t="n">
        <f aca="false">IF(Q210="","",$A210+VLOOKUP(N210,Schichten!$A$5:$G$24,4,FALSE())+IF(VLOOKUP(N210,Schichten!$A$5:$G$24,4,FALSE())&lt;=VLOOKUP(N210,Schichten!$A$5:$G$24,3,FALSE()),1,0))</f>
        <v>46593.5833333333</v>
      </c>
      <c r="S210" s="28" t="n">
        <f aca="false">IF($A210="","",IF(N(O209)&gt;0,R209,S209))</f>
        <v>46591.25</v>
      </c>
      <c r="T210" s="27" t="n">
        <f aca="false">IF(OR(Q210="",S210=""),"",(Q210-S210)*24)</f>
        <v>48</v>
      </c>
      <c r="U210" s="21" t="n">
        <f aca="false">IF($A210="","",IF(N(O210)&gt;0,N(U209)+1,0))</f>
        <v>1</v>
      </c>
      <c r="V210" s="21" t="n">
        <f aca="false">IF($A210="","",IF(N(P210)&gt;0,N(V209)+1,0))</f>
        <v>0</v>
      </c>
      <c r="W210" s="21" t="n">
        <f aca="false">IF($A210="","",IF(WEEKDAY($A210,2)&lt;&gt;7,"",IF(AND(OR(Q210="",N(Q210)&gt;=$A210+16/24,N(R210)&lt;=$A210+6/24),OR(S210="",N(S210)&lt;=$A210+6/24)),1,0)))</f>
        <v>0</v>
      </c>
      <c r="X210" s="26" t="str">
        <f aca="false">IF($A210="","",IF(INDEX(Muster!$C$8:$BF$8,1,MOD($A210-Einstellungen!$C$6,Einstellungen!$C$7)+1)="","-",INDEX(Muster!$C$8:$BF$8,1,MOD($A210-Einstellungen!$C$6,Einstellungen!$C$7)+1)))</f>
        <v>-</v>
      </c>
      <c r="Y210" s="27" t="n">
        <f aca="false">IF($A210="","",IFERROR(VLOOKUP(X210,Schichten!$A$5:$G$24,6,FALSE()),0))</f>
        <v>0</v>
      </c>
      <c r="Z210" s="27" t="n">
        <f aca="false">IF($A210="","",IFERROR(VLOOKUP(X210,Schichten!$A$5:$G$24,7,FALSE()),0))</f>
        <v>0</v>
      </c>
      <c r="AA210" s="28" t="str">
        <f aca="false">IF($A210="","",IF(N(Y210)=0,"",$A210+VLOOKUP(X210,Schichten!$A$5:$G$24,3,FALSE())))</f>
        <v/>
      </c>
      <c r="AB210" s="28" t="str">
        <f aca="false">IF(AA210="","",$A210+VLOOKUP(X210,Schichten!$A$5:$G$24,4,FALSE())+IF(VLOOKUP(X210,Schichten!$A$5:$G$24,4,FALSE())&lt;=VLOOKUP(X210,Schichten!$A$5:$G$24,3,FALSE()),1,0))</f>
        <v/>
      </c>
      <c r="AC210" s="28" t="n">
        <f aca="false">IF($A210="","",IF(N(Y209)&gt;0,AB209,AC209))</f>
        <v>46593.25</v>
      </c>
      <c r="AD210" s="27" t="str">
        <f aca="false">IF(OR(AA210="",AC210=""),"",(AA210-AC210)*24)</f>
        <v/>
      </c>
      <c r="AE210" s="21" t="n">
        <f aca="false">IF($A210="","",IF(N(Y210)&gt;0,N(AE209)+1,0))</f>
        <v>0</v>
      </c>
      <c r="AF210" s="21" t="n">
        <f aca="false">IF($A210="","",IF(N(Z210)&gt;0,N(AF209)+1,0))</f>
        <v>0</v>
      </c>
      <c r="AG210" s="21" t="n">
        <f aca="false">IF($A210="","",IF(WEEKDAY($A210,2)&lt;&gt;7,"",IF(AND(OR(AA210="",N(AA210)&gt;=$A210+16/24,N(AB210)&lt;=$A210+6/24),OR(AC210="",N(AC210)&lt;=$A210+6/24)),1,0)))</f>
        <v>1</v>
      </c>
      <c r="AH210" s="26" t="str">
        <f aca="false">IF($A210="","",IF(INDEX(Muster!$C$9:$BF$9,1,MOD($A210-Einstellungen!$C$6,Einstellungen!$C$7)+1)="","-",INDEX(Muster!$C$9:$BF$9,1,MOD($A210-Einstellungen!$C$6,Einstellungen!$C$7)+1)))</f>
        <v>N</v>
      </c>
      <c r="AI210" s="27" t="n">
        <f aca="false">IF($A210="","",IFERROR(VLOOKUP(AH210,Schichten!$A$5:$G$24,6,FALSE()),0))</f>
        <v>8</v>
      </c>
      <c r="AJ210" s="27" t="n">
        <f aca="false">IF($A210="","",IFERROR(VLOOKUP(AH210,Schichten!$A$5:$G$24,7,FALSE()),0))</f>
        <v>7</v>
      </c>
      <c r="AK210" s="28" t="n">
        <f aca="false">IF($A210="","",IF(N(AI210)=0,"",$A210+VLOOKUP(AH210,Schichten!$A$5:$G$24,3,FALSE())))</f>
        <v>46593.9166666667</v>
      </c>
      <c r="AL210" s="28" t="n">
        <f aca="false">IF(AK210="","",$A210+VLOOKUP(AH210,Schichten!$A$5:$G$24,4,FALSE())+IF(VLOOKUP(AH210,Schichten!$A$5:$G$24,4,FALSE())&lt;=VLOOKUP(AH210,Schichten!$A$5:$G$24,3,FALSE()),1,0))</f>
        <v>46594.25</v>
      </c>
      <c r="AM210" s="28" t="n">
        <f aca="false">IF($A210="","",IF(N(AI209)&gt;0,AL209,AM209))</f>
        <v>46592.9166666667</v>
      </c>
      <c r="AN210" s="27" t="n">
        <f aca="false">IF(OR(AK210="",AM210=""),"",(AK210-AM210)*24)</f>
        <v>24</v>
      </c>
      <c r="AO210" s="21" t="n">
        <f aca="false">IF($A210="","",IF(N(AI210)&gt;0,N(AO209)+1,0))</f>
        <v>5</v>
      </c>
      <c r="AP210" s="21" t="n">
        <f aca="false">IF($A210="","",IF(N(AJ210)&gt;0,N(AP209)+1,0))</f>
        <v>1</v>
      </c>
      <c r="AQ210" s="21" t="n">
        <f aca="false">IF($A210="","",IF(WEEKDAY($A210,2)&lt;&gt;7,"",IF(AND(OR(AK210="",N(AK210)&gt;=$A210+16/24,N(AL210)&lt;=$A210+6/24),OR(AM210="",N(AM210)&lt;=$A210+6/24)),1,0)))</f>
        <v>1</v>
      </c>
      <c r="AR210" s="26" t="str">
        <f aca="false">IF($A210="","",IF(INDEX(Muster!$C$10:$BF$10,1,MOD($A210-Einstellungen!$C$6,Einstellungen!$C$7)+1)="","-",INDEX(Muster!$C$10:$BF$10,1,MOD($A210-Einstellungen!$C$6,Einstellungen!$C$7)+1)))</f>
        <v>-</v>
      </c>
      <c r="AS210" s="27" t="n">
        <f aca="false">IF($A210="","",IFERROR(VLOOKUP(AR210,Schichten!$A$5:$G$24,6,FALSE()),0))</f>
        <v>0</v>
      </c>
      <c r="AT210" s="27" t="n">
        <f aca="false">IF($A210="","",IFERROR(VLOOKUP(AR210,Schichten!$A$5:$G$24,7,FALSE()),0))</f>
        <v>0</v>
      </c>
      <c r="AU210" s="28" t="str">
        <f aca="false">IF($A210="","",IF(N(AS210)=0,"",$A210+VLOOKUP(AR210,Schichten!$A$5:$G$24,3,FALSE())))</f>
        <v/>
      </c>
      <c r="AV210" s="28" t="str">
        <f aca="false">IF(AU210="","",$A210+VLOOKUP(AR210,Schichten!$A$5:$G$24,4,FALSE())+IF(VLOOKUP(AR210,Schichten!$A$5:$G$24,4,FALSE())&lt;=VLOOKUP(AR210,Schichten!$A$5:$G$24,3,FALSE()),1,0))</f>
        <v/>
      </c>
      <c r="AW210" s="28" t="str">
        <f aca="false">IF($A210="","",IF(N(AS209)&gt;0,AV209,AW209))</f>
        <v/>
      </c>
      <c r="AX210" s="27" t="str">
        <f aca="false">IF(OR(AU210="",AW210=""),"",(AU210-AW210)*24)</f>
        <v/>
      </c>
      <c r="AY210" s="21" t="n">
        <f aca="false">IF($A210="","",IF(N(AS210)&gt;0,N(AY209)+1,0))</f>
        <v>0</v>
      </c>
      <c r="AZ210" s="21" t="n">
        <f aca="false">IF($A210="","",IF(N(AT210)&gt;0,N(AZ209)+1,0))</f>
        <v>0</v>
      </c>
      <c r="BA210" s="21" t="n">
        <f aca="false">IF($A210="","",IF(WEEKDAY($A210,2)&lt;&gt;7,"",IF(AND(OR(AU210="",N(AU210)&gt;=$A210+16/24,N(AV210)&lt;=$A210+6/24),OR(AW210="",N(AW210)&lt;=$A210+6/24)),1,0)))</f>
        <v>1</v>
      </c>
    </row>
    <row r="211" customFormat="false" ht="15" hidden="false" customHeight="false" outlineLevel="0" collapsed="false">
      <c r="A211" s="25" t="n">
        <f aca="false">IF(YEAR(DATE(Einstellungen!$C$4,1,1)+206)=Einstellungen!$C$4,DATE(Einstellungen!$C$4,1,1)+206,"")</f>
        <v>46594</v>
      </c>
      <c r="B211" s="26" t="str">
        <f aca="false">IF($A211="","",CHOOSE(WEEKDAY($A211,2),"Mo","Di","Mi","Do","Fr","Sa","So"))</f>
        <v>Mo</v>
      </c>
      <c r="C211" s="26" t="n">
        <f aca="false">IF($A211="","",MONTH($A211))</f>
        <v>7</v>
      </c>
      <c r="D211" s="26" t="str">
        <f aca="false">IF($A211="","",IF(INDEX(Muster!$C$6:$BF$6,1,MOD($A211-Einstellungen!$C$6,Einstellungen!$C$7)+1)="","-",INDEX(Muster!$C$6:$BF$6,1,MOD($A211-Einstellungen!$C$6,Einstellungen!$C$7)+1)))</f>
        <v>S</v>
      </c>
      <c r="E211" s="27" t="n">
        <f aca="false">IF($A211="","",IFERROR(VLOOKUP(D211,Schichten!$A$5:$G$24,6,FALSE()),0))</f>
        <v>8</v>
      </c>
      <c r="F211" s="27" t="n">
        <f aca="false">IF($A211="","",IFERROR(VLOOKUP(D211,Schichten!$A$5:$G$24,7,FALSE()),0))</f>
        <v>0</v>
      </c>
      <c r="G211" s="28" t="n">
        <f aca="false">IF($A211="","",IF(N(E211)=0,"",$A211+VLOOKUP(D211,Schichten!$A$5:$G$24,3,FALSE())))</f>
        <v>46594.5833333333</v>
      </c>
      <c r="H211" s="28" t="n">
        <f aca="false">IF(G211="","",$A211+VLOOKUP(D211,Schichten!$A$5:$G$24,4,FALSE())+IF(VLOOKUP(D211,Schichten!$A$5:$G$24,4,FALSE())&lt;=VLOOKUP(D211,Schichten!$A$5:$G$24,3,FALSE()),1,0))</f>
        <v>46594.9166666667</v>
      </c>
      <c r="I211" s="28" t="n">
        <f aca="false">IF($A211="","",IF(N(E210)&gt;0,H210,I210))</f>
        <v>46593.9166666667</v>
      </c>
      <c r="J211" s="27" t="n">
        <f aca="false">IF(OR(G211="",I211=""),"",(G211-I211)*24)</f>
        <v>16</v>
      </c>
      <c r="K211" s="21" t="n">
        <f aca="false">IF($A211="","",IF(N(E211)&gt;0,N(K210)+1,0))</f>
        <v>4</v>
      </c>
      <c r="L211" s="21" t="n">
        <f aca="false">IF($A211="","",IF(N(F211)&gt;0,N(L210)+1,0))</f>
        <v>0</v>
      </c>
      <c r="M211" s="21" t="str">
        <f aca="false">IF($A211="","",IF(WEEKDAY($A211,2)&lt;&gt;7,"",IF(AND(OR(G211="",N(G211)&gt;=$A211+16/24,N(H211)&lt;=$A211+6/24),OR(I211="",N(I211)&lt;=$A211+6/24)),1,0)))</f>
        <v/>
      </c>
      <c r="N211" s="26" t="str">
        <f aca="false">IF($A211="","",IF(INDEX(Muster!$C$7:$BF$7,1,MOD($A211-Einstellungen!$C$6,Einstellungen!$C$7)+1)="","-",INDEX(Muster!$C$7:$BF$7,1,MOD($A211-Einstellungen!$C$6,Einstellungen!$C$7)+1)))</f>
        <v>F</v>
      </c>
      <c r="O211" s="27" t="n">
        <f aca="false">IF($A211="","",IFERROR(VLOOKUP(N211,Schichten!$A$5:$G$24,6,FALSE()),0))</f>
        <v>8</v>
      </c>
      <c r="P211" s="27" t="n">
        <f aca="false">IF($A211="","",IFERROR(VLOOKUP(N211,Schichten!$A$5:$G$24,7,FALSE()),0))</f>
        <v>0</v>
      </c>
      <c r="Q211" s="28" t="n">
        <f aca="false">IF($A211="","",IF(N(O211)=0,"",$A211+VLOOKUP(N211,Schichten!$A$5:$G$24,3,FALSE())))</f>
        <v>46594.25</v>
      </c>
      <c r="R211" s="28" t="n">
        <f aca="false">IF(Q211="","",$A211+VLOOKUP(N211,Schichten!$A$5:$G$24,4,FALSE())+IF(VLOOKUP(N211,Schichten!$A$5:$G$24,4,FALSE())&lt;=VLOOKUP(N211,Schichten!$A$5:$G$24,3,FALSE()),1,0))</f>
        <v>46594.5833333333</v>
      </c>
      <c r="S211" s="28" t="n">
        <f aca="false">IF($A211="","",IF(N(O210)&gt;0,R210,S210))</f>
        <v>46593.5833333333</v>
      </c>
      <c r="T211" s="27" t="n">
        <f aca="false">IF(OR(Q211="",S211=""),"",(Q211-S211)*24)</f>
        <v>16</v>
      </c>
      <c r="U211" s="21" t="n">
        <f aca="false">IF($A211="","",IF(N(O211)&gt;0,N(U210)+1,0))</f>
        <v>2</v>
      </c>
      <c r="V211" s="21" t="n">
        <f aca="false">IF($A211="","",IF(N(P211)&gt;0,N(V210)+1,0))</f>
        <v>0</v>
      </c>
      <c r="W211" s="21" t="str">
        <f aca="false">IF($A211="","",IF(WEEKDAY($A211,2)&lt;&gt;7,"",IF(AND(OR(Q211="",N(Q211)&gt;=$A211+16/24,N(R211)&lt;=$A211+6/24),OR(S211="",N(S211)&lt;=$A211+6/24)),1,0)))</f>
        <v/>
      </c>
      <c r="X211" s="26" t="str">
        <f aca="false">IF($A211="","",IF(INDEX(Muster!$C$8:$BF$8,1,MOD($A211-Einstellungen!$C$6,Einstellungen!$C$7)+1)="","-",INDEX(Muster!$C$8:$BF$8,1,MOD($A211-Einstellungen!$C$6,Einstellungen!$C$7)+1)))</f>
        <v>-</v>
      </c>
      <c r="Y211" s="27" t="n">
        <f aca="false">IF($A211="","",IFERROR(VLOOKUP(X211,Schichten!$A$5:$G$24,6,FALSE()),0))</f>
        <v>0</v>
      </c>
      <c r="Z211" s="27" t="n">
        <f aca="false">IF($A211="","",IFERROR(VLOOKUP(X211,Schichten!$A$5:$G$24,7,FALSE()),0))</f>
        <v>0</v>
      </c>
      <c r="AA211" s="28" t="str">
        <f aca="false">IF($A211="","",IF(N(Y211)=0,"",$A211+VLOOKUP(X211,Schichten!$A$5:$G$24,3,FALSE())))</f>
        <v/>
      </c>
      <c r="AB211" s="28" t="str">
        <f aca="false">IF(AA211="","",$A211+VLOOKUP(X211,Schichten!$A$5:$G$24,4,FALSE())+IF(VLOOKUP(X211,Schichten!$A$5:$G$24,4,FALSE())&lt;=VLOOKUP(X211,Schichten!$A$5:$G$24,3,FALSE()),1,0))</f>
        <v/>
      </c>
      <c r="AC211" s="28" t="n">
        <f aca="false">IF($A211="","",IF(N(Y210)&gt;0,AB210,AC210))</f>
        <v>46593.25</v>
      </c>
      <c r="AD211" s="27" t="str">
        <f aca="false">IF(OR(AA211="",AC211=""),"",(AA211-AC211)*24)</f>
        <v/>
      </c>
      <c r="AE211" s="21" t="n">
        <f aca="false">IF($A211="","",IF(N(Y211)&gt;0,N(AE210)+1,0))</f>
        <v>0</v>
      </c>
      <c r="AF211" s="21" t="n">
        <f aca="false">IF($A211="","",IF(N(Z211)&gt;0,N(AF210)+1,0))</f>
        <v>0</v>
      </c>
      <c r="AG211" s="21" t="str">
        <f aca="false">IF($A211="","",IF(WEEKDAY($A211,2)&lt;&gt;7,"",IF(AND(OR(AA211="",N(AA211)&gt;=$A211+16/24,N(AB211)&lt;=$A211+6/24),OR(AC211="",N(AC211)&lt;=$A211+6/24)),1,0)))</f>
        <v/>
      </c>
      <c r="AH211" s="26" t="str">
        <f aca="false">IF($A211="","",IF(INDEX(Muster!$C$9:$BF$9,1,MOD($A211-Einstellungen!$C$6,Einstellungen!$C$7)+1)="","-",INDEX(Muster!$C$9:$BF$9,1,MOD($A211-Einstellungen!$C$6,Einstellungen!$C$7)+1)))</f>
        <v>N</v>
      </c>
      <c r="AI211" s="27" t="n">
        <f aca="false">IF($A211="","",IFERROR(VLOOKUP(AH211,Schichten!$A$5:$G$24,6,FALSE()),0))</f>
        <v>8</v>
      </c>
      <c r="AJ211" s="27" t="n">
        <f aca="false">IF($A211="","",IFERROR(VLOOKUP(AH211,Schichten!$A$5:$G$24,7,FALSE()),0))</f>
        <v>7</v>
      </c>
      <c r="AK211" s="28" t="n">
        <f aca="false">IF($A211="","",IF(N(AI211)=0,"",$A211+VLOOKUP(AH211,Schichten!$A$5:$G$24,3,FALSE())))</f>
        <v>46594.9166666667</v>
      </c>
      <c r="AL211" s="28" t="n">
        <f aca="false">IF(AK211="","",$A211+VLOOKUP(AH211,Schichten!$A$5:$G$24,4,FALSE())+IF(VLOOKUP(AH211,Schichten!$A$5:$G$24,4,FALSE())&lt;=VLOOKUP(AH211,Schichten!$A$5:$G$24,3,FALSE()),1,0))</f>
        <v>46595.25</v>
      </c>
      <c r="AM211" s="28" t="n">
        <f aca="false">IF($A211="","",IF(N(AI210)&gt;0,AL210,AM210))</f>
        <v>46594.25</v>
      </c>
      <c r="AN211" s="27" t="n">
        <f aca="false">IF(OR(AK211="",AM211=""),"",(AK211-AM211)*24)</f>
        <v>16</v>
      </c>
      <c r="AO211" s="21" t="n">
        <f aca="false">IF($A211="","",IF(N(AI211)&gt;0,N(AO210)+1,0))</f>
        <v>6</v>
      </c>
      <c r="AP211" s="21" t="n">
        <f aca="false">IF($A211="","",IF(N(AJ211)&gt;0,N(AP210)+1,0))</f>
        <v>2</v>
      </c>
      <c r="AQ211" s="21" t="str">
        <f aca="false">IF($A211="","",IF(WEEKDAY($A211,2)&lt;&gt;7,"",IF(AND(OR(AK211="",N(AK211)&gt;=$A211+16/24,N(AL211)&lt;=$A211+6/24),OR(AM211="",N(AM211)&lt;=$A211+6/24)),1,0)))</f>
        <v/>
      </c>
      <c r="AR211" s="26" t="str">
        <f aca="false">IF($A211="","",IF(INDEX(Muster!$C$10:$BF$10,1,MOD($A211-Einstellungen!$C$6,Einstellungen!$C$7)+1)="","-",INDEX(Muster!$C$10:$BF$10,1,MOD($A211-Einstellungen!$C$6,Einstellungen!$C$7)+1)))</f>
        <v>-</v>
      </c>
      <c r="AS211" s="27" t="n">
        <f aca="false">IF($A211="","",IFERROR(VLOOKUP(AR211,Schichten!$A$5:$G$24,6,FALSE()),0))</f>
        <v>0</v>
      </c>
      <c r="AT211" s="27" t="n">
        <f aca="false">IF($A211="","",IFERROR(VLOOKUP(AR211,Schichten!$A$5:$G$24,7,FALSE()),0))</f>
        <v>0</v>
      </c>
      <c r="AU211" s="28" t="str">
        <f aca="false">IF($A211="","",IF(N(AS211)=0,"",$A211+VLOOKUP(AR211,Schichten!$A$5:$G$24,3,FALSE())))</f>
        <v/>
      </c>
      <c r="AV211" s="28" t="str">
        <f aca="false">IF(AU211="","",$A211+VLOOKUP(AR211,Schichten!$A$5:$G$24,4,FALSE())+IF(VLOOKUP(AR211,Schichten!$A$5:$G$24,4,FALSE())&lt;=VLOOKUP(AR211,Schichten!$A$5:$G$24,3,FALSE()),1,0))</f>
        <v/>
      </c>
      <c r="AW211" s="28" t="str">
        <f aca="false">IF($A211="","",IF(N(AS210)&gt;0,AV210,AW210))</f>
        <v/>
      </c>
      <c r="AX211" s="27" t="str">
        <f aca="false">IF(OR(AU211="",AW211=""),"",(AU211-AW211)*24)</f>
        <v/>
      </c>
      <c r="AY211" s="21" t="n">
        <f aca="false">IF($A211="","",IF(N(AS211)&gt;0,N(AY210)+1,0))</f>
        <v>0</v>
      </c>
      <c r="AZ211" s="21" t="n">
        <f aca="false">IF($A211="","",IF(N(AT211)&gt;0,N(AZ210)+1,0))</f>
        <v>0</v>
      </c>
      <c r="BA211" s="21" t="str">
        <f aca="false">IF($A211="","",IF(WEEKDAY($A211,2)&lt;&gt;7,"",IF(AND(OR(AU211="",N(AU211)&gt;=$A211+16/24,N(AV211)&lt;=$A211+6/24),OR(AW211="",N(AW211)&lt;=$A211+6/24)),1,0)))</f>
        <v/>
      </c>
    </row>
    <row r="212" customFormat="false" ht="15" hidden="false" customHeight="false" outlineLevel="0" collapsed="false">
      <c r="A212" s="25" t="n">
        <f aca="false">IF(YEAR(DATE(Einstellungen!$C$4,1,1)+207)=Einstellungen!$C$4,DATE(Einstellungen!$C$4,1,1)+207,"")</f>
        <v>46595</v>
      </c>
      <c r="B212" s="26" t="str">
        <f aca="false">IF($A212="","",CHOOSE(WEEKDAY($A212,2),"Mo","Di","Mi","Do","Fr","Sa","So"))</f>
        <v>Di</v>
      </c>
      <c r="C212" s="26" t="n">
        <f aca="false">IF($A212="","",MONTH($A212))</f>
        <v>7</v>
      </c>
      <c r="D212" s="26" t="str">
        <f aca="false">IF($A212="","",IF(INDEX(Muster!$C$6:$BF$6,1,MOD($A212-Einstellungen!$C$6,Einstellungen!$C$7)+1)="","-",INDEX(Muster!$C$6:$BF$6,1,MOD($A212-Einstellungen!$C$6,Einstellungen!$C$7)+1)))</f>
        <v>N</v>
      </c>
      <c r="E212" s="27" t="n">
        <f aca="false">IF($A212="","",IFERROR(VLOOKUP(D212,Schichten!$A$5:$G$24,6,FALSE()),0))</f>
        <v>8</v>
      </c>
      <c r="F212" s="27" t="n">
        <f aca="false">IF($A212="","",IFERROR(VLOOKUP(D212,Schichten!$A$5:$G$24,7,FALSE()),0))</f>
        <v>7</v>
      </c>
      <c r="G212" s="28" t="n">
        <f aca="false">IF($A212="","",IF(N(E212)=0,"",$A212+VLOOKUP(D212,Schichten!$A$5:$G$24,3,FALSE())))</f>
        <v>46595.9166666667</v>
      </c>
      <c r="H212" s="28" t="n">
        <f aca="false">IF(G212="","",$A212+VLOOKUP(D212,Schichten!$A$5:$G$24,4,FALSE())+IF(VLOOKUP(D212,Schichten!$A$5:$G$24,4,FALSE())&lt;=VLOOKUP(D212,Schichten!$A$5:$G$24,3,FALSE()),1,0))</f>
        <v>46596.25</v>
      </c>
      <c r="I212" s="28" t="n">
        <f aca="false">IF($A212="","",IF(N(E211)&gt;0,H211,I211))</f>
        <v>46594.9166666667</v>
      </c>
      <c r="J212" s="27" t="n">
        <f aca="false">IF(OR(G212="",I212=""),"",(G212-I212)*24)</f>
        <v>24</v>
      </c>
      <c r="K212" s="21" t="n">
        <f aca="false">IF($A212="","",IF(N(E212)&gt;0,N(K211)+1,0))</f>
        <v>5</v>
      </c>
      <c r="L212" s="21" t="n">
        <f aca="false">IF($A212="","",IF(N(F212)&gt;0,N(L211)+1,0))</f>
        <v>1</v>
      </c>
      <c r="M212" s="21" t="str">
        <f aca="false">IF($A212="","",IF(WEEKDAY($A212,2)&lt;&gt;7,"",IF(AND(OR(G212="",N(G212)&gt;=$A212+16/24,N(H212)&lt;=$A212+6/24),OR(I212="",N(I212)&lt;=$A212+6/24)),1,0)))</f>
        <v/>
      </c>
      <c r="N212" s="26" t="str">
        <f aca="false">IF($A212="","",IF(INDEX(Muster!$C$7:$BF$7,1,MOD($A212-Einstellungen!$C$6,Einstellungen!$C$7)+1)="","-",INDEX(Muster!$C$7:$BF$7,1,MOD($A212-Einstellungen!$C$6,Einstellungen!$C$7)+1)))</f>
        <v>S</v>
      </c>
      <c r="O212" s="27" t="n">
        <f aca="false">IF($A212="","",IFERROR(VLOOKUP(N212,Schichten!$A$5:$G$24,6,FALSE()),0))</f>
        <v>8</v>
      </c>
      <c r="P212" s="27" t="n">
        <f aca="false">IF($A212="","",IFERROR(VLOOKUP(N212,Schichten!$A$5:$G$24,7,FALSE()),0))</f>
        <v>0</v>
      </c>
      <c r="Q212" s="28" t="n">
        <f aca="false">IF($A212="","",IF(N(O212)=0,"",$A212+VLOOKUP(N212,Schichten!$A$5:$G$24,3,FALSE())))</f>
        <v>46595.5833333333</v>
      </c>
      <c r="R212" s="28" t="n">
        <f aca="false">IF(Q212="","",$A212+VLOOKUP(N212,Schichten!$A$5:$G$24,4,FALSE())+IF(VLOOKUP(N212,Schichten!$A$5:$G$24,4,FALSE())&lt;=VLOOKUP(N212,Schichten!$A$5:$G$24,3,FALSE()),1,0))</f>
        <v>46595.9166666667</v>
      </c>
      <c r="S212" s="28" t="n">
        <f aca="false">IF($A212="","",IF(N(O211)&gt;0,R211,S211))</f>
        <v>46594.5833333333</v>
      </c>
      <c r="T212" s="27" t="n">
        <f aca="false">IF(OR(Q212="",S212=""),"",(Q212-S212)*24)</f>
        <v>24</v>
      </c>
      <c r="U212" s="21" t="n">
        <f aca="false">IF($A212="","",IF(N(O212)&gt;0,N(U211)+1,0))</f>
        <v>3</v>
      </c>
      <c r="V212" s="21" t="n">
        <f aca="false">IF($A212="","",IF(N(P212)&gt;0,N(V211)+1,0))</f>
        <v>0</v>
      </c>
      <c r="W212" s="21" t="str">
        <f aca="false">IF($A212="","",IF(WEEKDAY($A212,2)&lt;&gt;7,"",IF(AND(OR(Q212="",N(Q212)&gt;=$A212+16/24,N(R212)&lt;=$A212+6/24),OR(S212="",N(S212)&lt;=$A212+6/24)),1,0)))</f>
        <v/>
      </c>
      <c r="X212" s="26" t="str">
        <f aca="false">IF($A212="","",IF(INDEX(Muster!$C$8:$BF$8,1,MOD($A212-Einstellungen!$C$6,Einstellungen!$C$7)+1)="","-",INDEX(Muster!$C$8:$BF$8,1,MOD($A212-Einstellungen!$C$6,Einstellungen!$C$7)+1)))</f>
        <v>F</v>
      </c>
      <c r="Y212" s="27" t="n">
        <f aca="false">IF($A212="","",IFERROR(VLOOKUP(X212,Schichten!$A$5:$G$24,6,FALSE()),0))</f>
        <v>8</v>
      </c>
      <c r="Z212" s="27" t="n">
        <f aca="false">IF($A212="","",IFERROR(VLOOKUP(X212,Schichten!$A$5:$G$24,7,FALSE()),0))</f>
        <v>0</v>
      </c>
      <c r="AA212" s="28" t="n">
        <f aca="false">IF($A212="","",IF(N(Y212)=0,"",$A212+VLOOKUP(X212,Schichten!$A$5:$G$24,3,FALSE())))</f>
        <v>46595.25</v>
      </c>
      <c r="AB212" s="28" t="n">
        <f aca="false">IF(AA212="","",$A212+VLOOKUP(X212,Schichten!$A$5:$G$24,4,FALSE())+IF(VLOOKUP(X212,Schichten!$A$5:$G$24,4,FALSE())&lt;=VLOOKUP(X212,Schichten!$A$5:$G$24,3,FALSE()),1,0))</f>
        <v>46595.5833333333</v>
      </c>
      <c r="AC212" s="28" t="n">
        <f aca="false">IF($A212="","",IF(N(Y211)&gt;0,AB211,AC211))</f>
        <v>46593.25</v>
      </c>
      <c r="AD212" s="27" t="n">
        <f aca="false">IF(OR(AA212="",AC212=""),"",(AA212-AC212)*24)</f>
        <v>48</v>
      </c>
      <c r="AE212" s="21" t="n">
        <f aca="false">IF($A212="","",IF(N(Y212)&gt;0,N(AE211)+1,0))</f>
        <v>1</v>
      </c>
      <c r="AF212" s="21" t="n">
        <f aca="false">IF($A212="","",IF(N(Z212)&gt;0,N(AF211)+1,0))</f>
        <v>0</v>
      </c>
      <c r="AG212" s="21" t="str">
        <f aca="false">IF($A212="","",IF(WEEKDAY($A212,2)&lt;&gt;7,"",IF(AND(OR(AA212="",N(AA212)&gt;=$A212+16/24,N(AB212)&lt;=$A212+6/24),OR(AC212="",N(AC212)&lt;=$A212+6/24)),1,0)))</f>
        <v/>
      </c>
      <c r="AH212" s="26" t="str">
        <f aca="false">IF($A212="","",IF(INDEX(Muster!$C$9:$BF$9,1,MOD($A212-Einstellungen!$C$6,Einstellungen!$C$7)+1)="","-",INDEX(Muster!$C$9:$BF$9,1,MOD($A212-Einstellungen!$C$6,Einstellungen!$C$7)+1)))</f>
        <v>-</v>
      </c>
      <c r="AI212" s="27" t="n">
        <f aca="false">IF($A212="","",IFERROR(VLOOKUP(AH212,Schichten!$A$5:$G$24,6,FALSE()),0))</f>
        <v>0</v>
      </c>
      <c r="AJ212" s="27" t="n">
        <f aca="false">IF($A212="","",IFERROR(VLOOKUP(AH212,Schichten!$A$5:$G$24,7,FALSE()),0))</f>
        <v>0</v>
      </c>
      <c r="AK212" s="28" t="str">
        <f aca="false">IF($A212="","",IF(N(AI212)=0,"",$A212+VLOOKUP(AH212,Schichten!$A$5:$G$24,3,FALSE())))</f>
        <v/>
      </c>
      <c r="AL212" s="28" t="str">
        <f aca="false">IF(AK212="","",$A212+VLOOKUP(AH212,Schichten!$A$5:$G$24,4,FALSE())+IF(VLOOKUP(AH212,Schichten!$A$5:$G$24,4,FALSE())&lt;=VLOOKUP(AH212,Schichten!$A$5:$G$24,3,FALSE()),1,0))</f>
        <v/>
      </c>
      <c r="AM212" s="28" t="n">
        <f aca="false">IF($A212="","",IF(N(AI211)&gt;0,AL211,AM211))</f>
        <v>46595.25</v>
      </c>
      <c r="AN212" s="27" t="str">
        <f aca="false">IF(OR(AK212="",AM212=""),"",(AK212-AM212)*24)</f>
        <v/>
      </c>
      <c r="AO212" s="21" t="n">
        <f aca="false">IF($A212="","",IF(N(AI212)&gt;0,N(AO211)+1,0))</f>
        <v>0</v>
      </c>
      <c r="AP212" s="21" t="n">
        <f aca="false">IF($A212="","",IF(N(AJ212)&gt;0,N(AP211)+1,0))</f>
        <v>0</v>
      </c>
      <c r="AQ212" s="21" t="str">
        <f aca="false">IF($A212="","",IF(WEEKDAY($A212,2)&lt;&gt;7,"",IF(AND(OR(AK212="",N(AK212)&gt;=$A212+16/24,N(AL212)&lt;=$A212+6/24),OR(AM212="",N(AM212)&lt;=$A212+6/24)),1,0)))</f>
        <v/>
      </c>
      <c r="AR212" s="26" t="str">
        <f aca="false">IF($A212="","",IF(INDEX(Muster!$C$10:$BF$10,1,MOD($A212-Einstellungen!$C$6,Einstellungen!$C$7)+1)="","-",INDEX(Muster!$C$10:$BF$10,1,MOD($A212-Einstellungen!$C$6,Einstellungen!$C$7)+1)))</f>
        <v>-</v>
      </c>
      <c r="AS212" s="27" t="n">
        <f aca="false">IF($A212="","",IFERROR(VLOOKUP(AR212,Schichten!$A$5:$G$24,6,FALSE()),0))</f>
        <v>0</v>
      </c>
      <c r="AT212" s="27" t="n">
        <f aca="false">IF($A212="","",IFERROR(VLOOKUP(AR212,Schichten!$A$5:$G$24,7,FALSE()),0))</f>
        <v>0</v>
      </c>
      <c r="AU212" s="28" t="str">
        <f aca="false">IF($A212="","",IF(N(AS212)=0,"",$A212+VLOOKUP(AR212,Schichten!$A$5:$G$24,3,FALSE())))</f>
        <v/>
      </c>
      <c r="AV212" s="28" t="str">
        <f aca="false">IF(AU212="","",$A212+VLOOKUP(AR212,Schichten!$A$5:$G$24,4,FALSE())+IF(VLOOKUP(AR212,Schichten!$A$5:$G$24,4,FALSE())&lt;=VLOOKUP(AR212,Schichten!$A$5:$G$24,3,FALSE()),1,0))</f>
        <v/>
      </c>
      <c r="AW212" s="28" t="str">
        <f aca="false">IF($A212="","",IF(N(AS211)&gt;0,AV211,AW211))</f>
        <v/>
      </c>
      <c r="AX212" s="27" t="str">
        <f aca="false">IF(OR(AU212="",AW212=""),"",(AU212-AW212)*24)</f>
        <v/>
      </c>
      <c r="AY212" s="21" t="n">
        <f aca="false">IF($A212="","",IF(N(AS212)&gt;0,N(AY211)+1,0))</f>
        <v>0</v>
      </c>
      <c r="AZ212" s="21" t="n">
        <f aca="false">IF($A212="","",IF(N(AT212)&gt;0,N(AZ211)+1,0))</f>
        <v>0</v>
      </c>
      <c r="BA212" s="21" t="str">
        <f aca="false">IF($A212="","",IF(WEEKDAY($A212,2)&lt;&gt;7,"",IF(AND(OR(AU212="",N(AU212)&gt;=$A212+16/24,N(AV212)&lt;=$A212+6/24),OR(AW212="",N(AW212)&lt;=$A212+6/24)),1,0)))</f>
        <v/>
      </c>
    </row>
    <row r="213" customFormat="false" ht="15" hidden="false" customHeight="false" outlineLevel="0" collapsed="false">
      <c r="A213" s="25" t="n">
        <f aca="false">IF(YEAR(DATE(Einstellungen!$C$4,1,1)+208)=Einstellungen!$C$4,DATE(Einstellungen!$C$4,1,1)+208,"")</f>
        <v>46596</v>
      </c>
      <c r="B213" s="26" t="str">
        <f aca="false">IF($A213="","",CHOOSE(WEEKDAY($A213,2),"Mo","Di","Mi","Do","Fr","Sa","So"))</f>
        <v>Mi</v>
      </c>
      <c r="C213" s="26" t="n">
        <f aca="false">IF($A213="","",MONTH($A213))</f>
        <v>7</v>
      </c>
      <c r="D213" s="26" t="str">
        <f aca="false">IF($A213="","",IF(INDEX(Muster!$C$6:$BF$6,1,MOD($A213-Einstellungen!$C$6,Einstellungen!$C$7)+1)="","-",INDEX(Muster!$C$6:$BF$6,1,MOD($A213-Einstellungen!$C$6,Einstellungen!$C$7)+1)))</f>
        <v>N</v>
      </c>
      <c r="E213" s="27" t="n">
        <f aca="false">IF($A213="","",IFERROR(VLOOKUP(D213,Schichten!$A$5:$G$24,6,FALSE()),0))</f>
        <v>8</v>
      </c>
      <c r="F213" s="27" t="n">
        <f aca="false">IF($A213="","",IFERROR(VLOOKUP(D213,Schichten!$A$5:$G$24,7,FALSE()),0))</f>
        <v>7</v>
      </c>
      <c r="G213" s="28" t="n">
        <f aca="false">IF($A213="","",IF(N(E213)=0,"",$A213+VLOOKUP(D213,Schichten!$A$5:$G$24,3,FALSE())))</f>
        <v>46596.9166666667</v>
      </c>
      <c r="H213" s="28" t="n">
        <f aca="false">IF(G213="","",$A213+VLOOKUP(D213,Schichten!$A$5:$G$24,4,FALSE())+IF(VLOOKUP(D213,Schichten!$A$5:$G$24,4,FALSE())&lt;=VLOOKUP(D213,Schichten!$A$5:$G$24,3,FALSE()),1,0))</f>
        <v>46597.25</v>
      </c>
      <c r="I213" s="28" t="n">
        <f aca="false">IF($A213="","",IF(N(E212)&gt;0,H212,I212))</f>
        <v>46596.25</v>
      </c>
      <c r="J213" s="27" t="n">
        <f aca="false">IF(OR(G213="",I213=""),"",(G213-I213)*24)</f>
        <v>16</v>
      </c>
      <c r="K213" s="21" t="n">
        <f aca="false">IF($A213="","",IF(N(E213)&gt;0,N(K212)+1,0))</f>
        <v>6</v>
      </c>
      <c r="L213" s="21" t="n">
        <f aca="false">IF($A213="","",IF(N(F213)&gt;0,N(L212)+1,0))</f>
        <v>2</v>
      </c>
      <c r="M213" s="21" t="str">
        <f aca="false">IF($A213="","",IF(WEEKDAY($A213,2)&lt;&gt;7,"",IF(AND(OR(G213="",N(G213)&gt;=$A213+16/24,N(H213)&lt;=$A213+6/24),OR(I213="",N(I213)&lt;=$A213+6/24)),1,0)))</f>
        <v/>
      </c>
      <c r="N213" s="26" t="str">
        <f aca="false">IF($A213="","",IF(INDEX(Muster!$C$7:$BF$7,1,MOD($A213-Einstellungen!$C$6,Einstellungen!$C$7)+1)="","-",INDEX(Muster!$C$7:$BF$7,1,MOD($A213-Einstellungen!$C$6,Einstellungen!$C$7)+1)))</f>
        <v>S</v>
      </c>
      <c r="O213" s="27" t="n">
        <f aca="false">IF($A213="","",IFERROR(VLOOKUP(N213,Schichten!$A$5:$G$24,6,FALSE()),0))</f>
        <v>8</v>
      </c>
      <c r="P213" s="27" t="n">
        <f aca="false">IF($A213="","",IFERROR(VLOOKUP(N213,Schichten!$A$5:$G$24,7,FALSE()),0))</f>
        <v>0</v>
      </c>
      <c r="Q213" s="28" t="n">
        <f aca="false">IF($A213="","",IF(N(O213)=0,"",$A213+VLOOKUP(N213,Schichten!$A$5:$G$24,3,FALSE())))</f>
        <v>46596.5833333333</v>
      </c>
      <c r="R213" s="28" t="n">
        <f aca="false">IF(Q213="","",$A213+VLOOKUP(N213,Schichten!$A$5:$G$24,4,FALSE())+IF(VLOOKUP(N213,Schichten!$A$5:$G$24,4,FALSE())&lt;=VLOOKUP(N213,Schichten!$A$5:$G$24,3,FALSE()),1,0))</f>
        <v>46596.9166666667</v>
      </c>
      <c r="S213" s="28" t="n">
        <f aca="false">IF($A213="","",IF(N(O212)&gt;0,R212,S212))</f>
        <v>46595.9166666667</v>
      </c>
      <c r="T213" s="27" t="n">
        <f aca="false">IF(OR(Q213="",S213=""),"",(Q213-S213)*24)</f>
        <v>16</v>
      </c>
      <c r="U213" s="21" t="n">
        <f aca="false">IF($A213="","",IF(N(O213)&gt;0,N(U212)+1,0))</f>
        <v>4</v>
      </c>
      <c r="V213" s="21" t="n">
        <f aca="false">IF($A213="","",IF(N(P213)&gt;0,N(V212)+1,0))</f>
        <v>0</v>
      </c>
      <c r="W213" s="21" t="str">
        <f aca="false">IF($A213="","",IF(WEEKDAY($A213,2)&lt;&gt;7,"",IF(AND(OR(Q213="",N(Q213)&gt;=$A213+16/24,N(R213)&lt;=$A213+6/24),OR(S213="",N(S213)&lt;=$A213+6/24)),1,0)))</f>
        <v/>
      </c>
      <c r="X213" s="26" t="str">
        <f aca="false">IF($A213="","",IF(INDEX(Muster!$C$8:$BF$8,1,MOD($A213-Einstellungen!$C$6,Einstellungen!$C$7)+1)="","-",INDEX(Muster!$C$8:$BF$8,1,MOD($A213-Einstellungen!$C$6,Einstellungen!$C$7)+1)))</f>
        <v>F</v>
      </c>
      <c r="Y213" s="27" t="n">
        <f aca="false">IF($A213="","",IFERROR(VLOOKUP(X213,Schichten!$A$5:$G$24,6,FALSE()),0))</f>
        <v>8</v>
      </c>
      <c r="Z213" s="27" t="n">
        <f aca="false">IF($A213="","",IFERROR(VLOOKUP(X213,Schichten!$A$5:$G$24,7,FALSE()),0))</f>
        <v>0</v>
      </c>
      <c r="AA213" s="28" t="n">
        <f aca="false">IF($A213="","",IF(N(Y213)=0,"",$A213+VLOOKUP(X213,Schichten!$A$5:$G$24,3,FALSE())))</f>
        <v>46596.25</v>
      </c>
      <c r="AB213" s="28" t="n">
        <f aca="false">IF(AA213="","",$A213+VLOOKUP(X213,Schichten!$A$5:$G$24,4,FALSE())+IF(VLOOKUP(X213,Schichten!$A$5:$G$24,4,FALSE())&lt;=VLOOKUP(X213,Schichten!$A$5:$G$24,3,FALSE()),1,0))</f>
        <v>46596.5833333333</v>
      </c>
      <c r="AC213" s="28" t="n">
        <f aca="false">IF($A213="","",IF(N(Y212)&gt;0,AB212,AC212))</f>
        <v>46595.5833333333</v>
      </c>
      <c r="AD213" s="27" t="n">
        <f aca="false">IF(OR(AA213="",AC213=""),"",(AA213-AC213)*24)</f>
        <v>16</v>
      </c>
      <c r="AE213" s="21" t="n">
        <f aca="false">IF($A213="","",IF(N(Y213)&gt;0,N(AE212)+1,0))</f>
        <v>2</v>
      </c>
      <c r="AF213" s="21" t="n">
        <f aca="false">IF($A213="","",IF(N(Z213)&gt;0,N(AF212)+1,0))</f>
        <v>0</v>
      </c>
      <c r="AG213" s="21" t="str">
        <f aca="false">IF($A213="","",IF(WEEKDAY($A213,2)&lt;&gt;7,"",IF(AND(OR(AA213="",N(AA213)&gt;=$A213+16/24,N(AB213)&lt;=$A213+6/24),OR(AC213="",N(AC213)&lt;=$A213+6/24)),1,0)))</f>
        <v/>
      </c>
      <c r="AH213" s="26" t="str">
        <f aca="false">IF($A213="","",IF(INDEX(Muster!$C$9:$BF$9,1,MOD($A213-Einstellungen!$C$6,Einstellungen!$C$7)+1)="","-",INDEX(Muster!$C$9:$BF$9,1,MOD($A213-Einstellungen!$C$6,Einstellungen!$C$7)+1)))</f>
        <v>-</v>
      </c>
      <c r="AI213" s="27" t="n">
        <f aca="false">IF($A213="","",IFERROR(VLOOKUP(AH213,Schichten!$A$5:$G$24,6,FALSE()),0))</f>
        <v>0</v>
      </c>
      <c r="AJ213" s="27" t="n">
        <f aca="false">IF($A213="","",IFERROR(VLOOKUP(AH213,Schichten!$A$5:$G$24,7,FALSE()),0))</f>
        <v>0</v>
      </c>
      <c r="AK213" s="28" t="str">
        <f aca="false">IF($A213="","",IF(N(AI213)=0,"",$A213+VLOOKUP(AH213,Schichten!$A$5:$G$24,3,FALSE())))</f>
        <v/>
      </c>
      <c r="AL213" s="28" t="str">
        <f aca="false">IF(AK213="","",$A213+VLOOKUP(AH213,Schichten!$A$5:$G$24,4,FALSE())+IF(VLOOKUP(AH213,Schichten!$A$5:$G$24,4,FALSE())&lt;=VLOOKUP(AH213,Schichten!$A$5:$G$24,3,FALSE()),1,0))</f>
        <v/>
      </c>
      <c r="AM213" s="28" t="n">
        <f aca="false">IF($A213="","",IF(N(AI212)&gt;0,AL212,AM212))</f>
        <v>46595.25</v>
      </c>
      <c r="AN213" s="27" t="str">
        <f aca="false">IF(OR(AK213="",AM213=""),"",(AK213-AM213)*24)</f>
        <v/>
      </c>
      <c r="AO213" s="21" t="n">
        <f aca="false">IF($A213="","",IF(N(AI213)&gt;0,N(AO212)+1,0))</f>
        <v>0</v>
      </c>
      <c r="AP213" s="21" t="n">
        <f aca="false">IF($A213="","",IF(N(AJ213)&gt;0,N(AP212)+1,0))</f>
        <v>0</v>
      </c>
      <c r="AQ213" s="21" t="str">
        <f aca="false">IF($A213="","",IF(WEEKDAY($A213,2)&lt;&gt;7,"",IF(AND(OR(AK213="",N(AK213)&gt;=$A213+16/24,N(AL213)&lt;=$A213+6/24),OR(AM213="",N(AM213)&lt;=$A213+6/24)),1,0)))</f>
        <v/>
      </c>
      <c r="AR213" s="26" t="str">
        <f aca="false">IF($A213="","",IF(INDEX(Muster!$C$10:$BF$10,1,MOD($A213-Einstellungen!$C$6,Einstellungen!$C$7)+1)="","-",INDEX(Muster!$C$10:$BF$10,1,MOD($A213-Einstellungen!$C$6,Einstellungen!$C$7)+1)))</f>
        <v>-</v>
      </c>
      <c r="AS213" s="27" t="n">
        <f aca="false">IF($A213="","",IFERROR(VLOOKUP(AR213,Schichten!$A$5:$G$24,6,FALSE()),0))</f>
        <v>0</v>
      </c>
      <c r="AT213" s="27" t="n">
        <f aca="false">IF($A213="","",IFERROR(VLOOKUP(AR213,Schichten!$A$5:$G$24,7,FALSE()),0))</f>
        <v>0</v>
      </c>
      <c r="AU213" s="28" t="str">
        <f aca="false">IF($A213="","",IF(N(AS213)=0,"",$A213+VLOOKUP(AR213,Schichten!$A$5:$G$24,3,FALSE())))</f>
        <v/>
      </c>
      <c r="AV213" s="28" t="str">
        <f aca="false">IF(AU213="","",$A213+VLOOKUP(AR213,Schichten!$A$5:$G$24,4,FALSE())+IF(VLOOKUP(AR213,Schichten!$A$5:$G$24,4,FALSE())&lt;=VLOOKUP(AR213,Schichten!$A$5:$G$24,3,FALSE()),1,0))</f>
        <v/>
      </c>
      <c r="AW213" s="28" t="str">
        <f aca="false">IF($A213="","",IF(N(AS212)&gt;0,AV212,AW212))</f>
        <v/>
      </c>
      <c r="AX213" s="27" t="str">
        <f aca="false">IF(OR(AU213="",AW213=""),"",(AU213-AW213)*24)</f>
        <v/>
      </c>
      <c r="AY213" s="21" t="n">
        <f aca="false">IF($A213="","",IF(N(AS213)&gt;0,N(AY212)+1,0))</f>
        <v>0</v>
      </c>
      <c r="AZ213" s="21" t="n">
        <f aca="false">IF($A213="","",IF(N(AT213)&gt;0,N(AZ212)+1,0))</f>
        <v>0</v>
      </c>
      <c r="BA213" s="21" t="str">
        <f aca="false">IF($A213="","",IF(WEEKDAY($A213,2)&lt;&gt;7,"",IF(AND(OR(AU213="",N(AU213)&gt;=$A213+16/24,N(AV213)&lt;=$A213+6/24),OR(AW213="",N(AW213)&lt;=$A213+6/24)),1,0)))</f>
        <v/>
      </c>
    </row>
    <row r="214" customFormat="false" ht="15" hidden="false" customHeight="false" outlineLevel="0" collapsed="false">
      <c r="A214" s="25" t="n">
        <f aca="false">IF(YEAR(DATE(Einstellungen!$C$4,1,1)+209)=Einstellungen!$C$4,DATE(Einstellungen!$C$4,1,1)+209,"")</f>
        <v>46597</v>
      </c>
      <c r="B214" s="26" t="str">
        <f aca="false">IF($A214="","",CHOOSE(WEEKDAY($A214,2),"Mo","Di","Mi","Do","Fr","Sa","So"))</f>
        <v>Do</v>
      </c>
      <c r="C214" s="26" t="n">
        <f aca="false">IF($A214="","",MONTH($A214))</f>
        <v>7</v>
      </c>
      <c r="D214" s="26" t="str">
        <f aca="false">IF($A214="","",IF(INDEX(Muster!$C$6:$BF$6,1,MOD($A214-Einstellungen!$C$6,Einstellungen!$C$7)+1)="","-",INDEX(Muster!$C$6:$BF$6,1,MOD($A214-Einstellungen!$C$6,Einstellungen!$C$7)+1)))</f>
        <v>-</v>
      </c>
      <c r="E214" s="27" t="n">
        <f aca="false">IF($A214="","",IFERROR(VLOOKUP(D214,Schichten!$A$5:$G$24,6,FALSE()),0))</f>
        <v>0</v>
      </c>
      <c r="F214" s="27" t="n">
        <f aca="false">IF($A214="","",IFERROR(VLOOKUP(D214,Schichten!$A$5:$G$24,7,FALSE()),0))</f>
        <v>0</v>
      </c>
      <c r="G214" s="28" t="str">
        <f aca="false">IF($A214="","",IF(N(E214)=0,"",$A214+VLOOKUP(D214,Schichten!$A$5:$G$24,3,FALSE())))</f>
        <v/>
      </c>
      <c r="H214" s="28" t="str">
        <f aca="false">IF(G214="","",$A214+VLOOKUP(D214,Schichten!$A$5:$G$24,4,FALSE())+IF(VLOOKUP(D214,Schichten!$A$5:$G$24,4,FALSE())&lt;=VLOOKUP(D214,Schichten!$A$5:$G$24,3,FALSE()),1,0))</f>
        <v/>
      </c>
      <c r="I214" s="28" t="n">
        <f aca="false">IF($A214="","",IF(N(E213)&gt;0,H213,I213))</f>
        <v>46597.25</v>
      </c>
      <c r="J214" s="27" t="str">
        <f aca="false">IF(OR(G214="",I214=""),"",(G214-I214)*24)</f>
        <v/>
      </c>
      <c r="K214" s="21" t="n">
        <f aca="false">IF($A214="","",IF(N(E214)&gt;0,N(K213)+1,0))</f>
        <v>0</v>
      </c>
      <c r="L214" s="21" t="n">
        <f aca="false">IF($A214="","",IF(N(F214)&gt;0,N(L213)+1,0))</f>
        <v>0</v>
      </c>
      <c r="M214" s="21" t="str">
        <f aca="false">IF($A214="","",IF(WEEKDAY($A214,2)&lt;&gt;7,"",IF(AND(OR(G214="",N(G214)&gt;=$A214+16/24,N(H214)&lt;=$A214+6/24),OR(I214="",N(I214)&lt;=$A214+6/24)),1,0)))</f>
        <v/>
      </c>
      <c r="N214" s="26" t="str">
        <f aca="false">IF($A214="","",IF(INDEX(Muster!$C$7:$BF$7,1,MOD($A214-Einstellungen!$C$6,Einstellungen!$C$7)+1)="","-",INDEX(Muster!$C$7:$BF$7,1,MOD($A214-Einstellungen!$C$6,Einstellungen!$C$7)+1)))</f>
        <v>N</v>
      </c>
      <c r="O214" s="27" t="n">
        <f aca="false">IF($A214="","",IFERROR(VLOOKUP(N214,Schichten!$A$5:$G$24,6,FALSE()),0))</f>
        <v>8</v>
      </c>
      <c r="P214" s="27" t="n">
        <f aca="false">IF($A214="","",IFERROR(VLOOKUP(N214,Schichten!$A$5:$G$24,7,FALSE()),0))</f>
        <v>7</v>
      </c>
      <c r="Q214" s="28" t="n">
        <f aca="false">IF($A214="","",IF(N(O214)=0,"",$A214+VLOOKUP(N214,Schichten!$A$5:$G$24,3,FALSE())))</f>
        <v>46597.9166666667</v>
      </c>
      <c r="R214" s="28" t="n">
        <f aca="false">IF(Q214="","",$A214+VLOOKUP(N214,Schichten!$A$5:$G$24,4,FALSE())+IF(VLOOKUP(N214,Schichten!$A$5:$G$24,4,FALSE())&lt;=VLOOKUP(N214,Schichten!$A$5:$G$24,3,FALSE()),1,0))</f>
        <v>46598.25</v>
      </c>
      <c r="S214" s="28" t="n">
        <f aca="false">IF($A214="","",IF(N(O213)&gt;0,R213,S213))</f>
        <v>46596.9166666667</v>
      </c>
      <c r="T214" s="27" t="n">
        <f aca="false">IF(OR(Q214="",S214=""),"",(Q214-S214)*24)</f>
        <v>24</v>
      </c>
      <c r="U214" s="21" t="n">
        <f aca="false">IF($A214="","",IF(N(O214)&gt;0,N(U213)+1,0))</f>
        <v>5</v>
      </c>
      <c r="V214" s="21" t="n">
        <f aca="false">IF($A214="","",IF(N(P214)&gt;0,N(V213)+1,0))</f>
        <v>1</v>
      </c>
      <c r="W214" s="21" t="str">
        <f aca="false">IF($A214="","",IF(WEEKDAY($A214,2)&lt;&gt;7,"",IF(AND(OR(Q214="",N(Q214)&gt;=$A214+16/24,N(R214)&lt;=$A214+6/24),OR(S214="",N(S214)&lt;=$A214+6/24)),1,0)))</f>
        <v/>
      </c>
      <c r="X214" s="26" t="str">
        <f aca="false">IF($A214="","",IF(INDEX(Muster!$C$8:$BF$8,1,MOD($A214-Einstellungen!$C$6,Einstellungen!$C$7)+1)="","-",INDEX(Muster!$C$8:$BF$8,1,MOD($A214-Einstellungen!$C$6,Einstellungen!$C$7)+1)))</f>
        <v>S</v>
      </c>
      <c r="Y214" s="27" t="n">
        <f aca="false">IF($A214="","",IFERROR(VLOOKUP(X214,Schichten!$A$5:$G$24,6,FALSE()),0))</f>
        <v>8</v>
      </c>
      <c r="Z214" s="27" t="n">
        <f aca="false">IF($A214="","",IFERROR(VLOOKUP(X214,Schichten!$A$5:$G$24,7,FALSE()),0))</f>
        <v>0</v>
      </c>
      <c r="AA214" s="28" t="n">
        <f aca="false">IF($A214="","",IF(N(Y214)=0,"",$A214+VLOOKUP(X214,Schichten!$A$5:$G$24,3,FALSE())))</f>
        <v>46597.5833333333</v>
      </c>
      <c r="AB214" s="28" t="n">
        <f aca="false">IF(AA214="","",$A214+VLOOKUP(X214,Schichten!$A$5:$G$24,4,FALSE())+IF(VLOOKUP(X214,Schichten!$A$5:$G$24,4,FALSE())&lt;=VLOOKUP(X214,Schichten!$A$5:$G$24,3,FALSE()),1,0))</f>
        <v>46597.9166666667</v>
      </c>
      <c r="AC214" s="28" t="n">
        <f aca="false">IF($A214="","",IF(N(Y213)&gt;0,AB213,AC213))</f>
        <v>46596.5833333333</v>
      </c>
      <c r="AD214" s="27" t="n">
        <f aca="false">IF(OR(AA214="",AC214=""),"",(AA214-AC214)*24)</f>
        <v>24</v>
      </c>
      <c r="AE214" s="21" t="n">
        <f aca="false">IF($A214="","",IF(N(Y214)&gt;0,N(AE213)+1,0))</f>
        <v>3</v>
      </c>
      <c r="AF214" s="21" t="n">
        <f aca="false">IF($A214="","",IF(N(Z214)&gt;0,N(AF213)+1,0))</f>
        <v>0</v>
      </c>
      <c r="AG214" s="21" t="str">
        <f aca="false">IF($A214="","",IF(WEEKDAY($A214,2)&lt;&gt;7,"",IF(AND(OR(AA214="",N(AA214)&gt;=$A214+16/24,N(AB214)&lt;=$A214+6/24),OR(AC214="",N(AC214)&lt;=$A214+6/24)),1,0)))</f>
        <v/>
      </c>
      <c r="AH214" s="26" t="str">
        <f aca="false">IF($A214="","",IF(INDEX(Muster!$C$9:$BF$9,1,MOD($A214-Einstellungen!$C$6,Einstellungen!$C$7)+1)="","-",INDEX(Muster!$C$9:$BF$9,1,MOD($A214-Einstellungen!$C$6,Einstellungen!$C$7)+1)))</f>
        <v>F</v>
      </c>
      <c r="AI214" s="27" t="n">
        <f aca="false">IF($A214="","",IFERROR(VLOOKUP(AH214,Schichten!$A$5:$G$24,6,FALSE()),0))</f>
        <v>8</v>
      </c>
      <c r="AJ214" s="27" t="n">
        <f aca="false">IF($A214="","",IFERROR(VLOOKUP(AH214,Schichten!$A$5:$G$24,7,FALSE()),0))</f>
        <v>0</v>
      </c>
      <c r="AK214" s="28" t="n">
        <f aca="false">IF($A214="","",IF(N(AI214)=0,"",$A214+VLOOKUP(AH214,Schichten!$A$5:$G$24,3,FALSE())))</f>
        <v>46597.25</v>
      </c>
      <c r="AL214" s="28" t="n">
        <f aca="false">IF(AK214="","",$A214+VLOOKUP(AH214,Schichten!$A$5:$G$24,4,FALSE())+IF(VLOOKUP(AH214,Schichten!$A$5:$G$24,4,FALSE())&lt;=VLOOKUP(AH214,Schichten!$A$5:$G$24,3,FALSE()),1,0))</f>
        <v>46597.5833333333</v>
      </c>
      <c r="AM214" s="28" t="n">
        <f aca="false">IF($A214="","",IF(N(AI213)&gt;0,AL213,AM213))</f>
        <v>46595.25</v>
      </c>
      <c r="AN214" s="27" t="n">
        <f aca="false">IF(OR(AK214="",AM214=""),"",(AK214-AM214)*24)</f>
        <v>48</v>
      </c>
      <c r="AO214" s="21" t="n">
        <f aca="false">IF($A214="","",IF(N(AI214)&gt;0,N(AO213)+1,0))</f>
        <v>1</v>
      </c>
      <c r="AP214" s="21" t="n">
        <f aca="false">IF($A214="","",IF(N(AJ214)&gt;0,N(AP213)+1,0))</f>
        <v>0</v>
      </c>
      <c r="AQ214" s="21" t="str">
        <f aca="false">IF($A214="","",IF(WEEKDAY($A214,2)&lt;&gt;7,"",IF(AND(OR(AK214="",N(AK214)&gt;=$A214+16/24,N(AL214)&lt;=$A214+6/24),OR(AM214="",N(AM214)&lt;=$A214+6/24)),1,0)))</f>
        <v/>
      </c>
      <c r="AR214" s="26" t="str">
        <f aca="false">IF($A214="","",IF(INDEX(Muster!$C$10:$BF$10,1,MOD($A214-Einstellungen!$C$6,Einstellungen!$C$7)+1)="","-",INDEX(Muster!$C$10:$BF$10,1,MOD($A214-Einstellungen!$C$6,Einstellungen!$C$7)+1)))</f>
        <v>-</v>
      </c>
      <c r="AS214" s="27" t="n">
        <f aca="false">IF($A214="","",IFERROR(VLOOKUP(AR214,Schichten!$A$5:$G$24,6,FALSE()),0))</f>
        <v>0</v>
      </c>
      <c r="AT214" s="27" t="n">
        <f aca="false">IF($A214="","",IFERROR(VLOOKUP(AR214,Schichten!$A$5:$G$24,7,FALSE()),0))</f>
        <v>0</v>
      </c>
      <c r="AU214" s="28" t="str">
        <f aca="false">IF($A214="","",IF(N(AS214)=0,"",$A214+VLOOKUP(AR214,Schichten!$A$5:$G$24,3,FALSE())))</f>
        <v/>
      </c>
      <c r="AV214" s="28" t="str">
        <f aca="false">IF(AU214="","",$A214+VLOOKUP(AR214,Schichten!$A$5:$G$24,4,FALSE())+IF(VLOOKUP(AR214,Schichten!$A$5:$G$24,4,FALSE())&lt;=VLOOKUP(AR214,Schichten!$A$5:$G$24,3,FALSE()),1,0))</f>
        <v/>
      </c>
      <c r="AW214" s="28" t="str">
        <f aca="false">IF($A214="","",IF(N(AS213)&gt;0,AV213,AW213))</f>
        <v/>
      </c>
      <c r="AX214" s="27" t="str">
        <f aca="false">IF(OR(AU214="",AW214=""),"",(AU214-AW214)*24)</f>
        <v/>
      </c>
      <c r="AY214" s="21" t="n">
        <f aca="false">IF($A214="","",IF(N(AS214)&gt;0,N(AY213)+1,0))</f>
        <v>0</v>
      </c>
      <c r="AZ214" s="21" t="n">
        <f aca="false">IF($A214="","",IF(N(AT214)&gt;0,N(AZ213)+1,0))</f>
        <v>0</v>
      </c>
      <c r="BA214" s="21" t="str">
        <f aca="false">IF($A214="","",IF(WEEKDAY($A214,2)&lt;&gt;7,"",IF(AND(OR(AU214="",N(AU214)&gt;=$A214+16/24,N(AV214)&lt;=$A214+6/24),OR(AW214="",N(AW214)&lt;=$A214+6/24)),1,0)))</f>
        <v/>
      </c>
    </row>
    <row r="215" customFormat="false" ht="15" hidden="false" customHeight="false" outlineLevel="0" collapsed="false">
      <c r="A215" s="25" t="n">
        <f aca="false">IF(YEAR(DATE(Einstellungen!$C$4,1,1)+210)=Einstellungen!$C$4,DATE(Einstellungen!$C$4,1,1)+210,"")</f>
        <v>46598</v>
      </c>
      <c r="B215" s="26" t="str">
        <f aca="false">IF($A215="","",CHOOSE(WEEKDAY($A215,2),"Mo","Di","Mi","Do","Fr","Sa","So"))</f>
        <v>Fr</v>
      </c>
      <c r="C215" s="26" t="n">
        <f aca="false">IF($A215="","",MONTH($A215))</f>
        <v>7</v>
      </c>
      <c r="D215" s="26" t="str">
        <f aca="false">IF($A215="","",IF(INDEX(Muster!$C$6:$BF$6,1,MOD($A215-Einstellungen!$C$6,Einstellungen!$C$7)+1)="","-",INDEX(Muster!$C$6:$BF$6,1,MOD($A215-Einstellungen!$C$6,Einstellungen!$C$7)+1)))</f>
        <v>-</v>
      </c>
      <c r="E215" s="27" t="n">
        <f aca="false">IF($A215="","",IFERROR(VLOOKUP(D215,Schichten!$A$5:$G$24,6,FALSE()),0))</f>
        <v>0</v>
      </c>
      <c r="F215" s="27" t="n">
        <f aca="false">IF($A215="","",IFERROR(VLOOKUP(D215,Schichten!$A$5:$G$24,7,FALSE()),0))</f>
        <v>0</v>
      </c>
      <c r="G215" s="28" t="str">
        <f aca="false">IF($A215="","",IF(N(E215)=0,"",$A215+VLOOKUP(D215,Schichten!$A$5:$G$24,3,FALSE())))</f>
        <v/>
      </c>
      <c r="H215" s="28" t="str">
        <f aca="false">IF(G215="","",$A215+VLOOKUP(D215,Schichten!$A$5:$G$24,4,FALSE())+IF(VLOOKUP(D215,Schichten!$A$5:$G$24,4,FALSE())&lt;=VLOOKUP(D215,Schichten!$A$5:$G$24,3,FALSE()),1,0))</f>
        <v/>
      </c>
      <c r="I215" s="28" t="n">
        <f aca="false">IF($A215="","",IF(N(E214)&gt;0,H214,I214))</f>
        <v>46597.25</v>
      </c>
      <c r="J215" s="27" t="str">
        <f aca="false">IF(OR(G215="",I215=""),"",(G215-I215)*24)</f>
        <v/>
      </c>
      <c r="K215" s="21" t="n">
        <f aca="false">IF($A215="","",IF(N(E215)&gt;0,N(K214)+1,0))</f>
        <v>0</v>
      </c>
      <c r="L215" s="21" t="n">
        <f aca="false">IF($A215="","",IF(N(F215)&gt;0,N(L214)+1,0))</f>
        <v>0</v>
      </c>
      <c r="M215" s="21" t="str">
        <f aca="false">IF($A215="","",IF(WEEKDAY($A215,2)&lt;&gt;7,"",IF(AND(OR(G215="",N(G215)&gt;=$A215+16/24,N(H215)&lt;=$A215+6/24),OR(I215="",N(I215)&lt;=$A215+6/24)),1,0)))</f>
        <v/>
      </c>
      <c r="N215" s="26" t="str">
        <f aca="false">IF($A215="","",IF(INDEX(Muster!$C$7:$BF$7,1,MOD($A215-Einstellungen!$C$6,Einstellungen!$C$7)+1)="","-",INDEX(Muster!$C$7:$BF$7,1,MOD($A215-Einstellungen!$C$6,Einstellungen!$C$7)+1)))</f>
        <v>N</v>
      </c>
      <c r="O215" s="27" t="n">
        <f aca="false">IF($A215="","",IFERROR(VLOOKUP(N215,Schichten!$A$5:$G$24,6,FALSE()),0))</f>
        <v>8</v>
      </c>
      <c r="P215" s="27" t="n">
        <f aca="false">IF($A215="","",IFERROR(VLOOKUP(N215,Schichten!$A$5:$G$24,7,FALSE()),0))</f>
        <v>7</v>
      </c>
      <c r="Q215" s="28" t="n">
        <f aca="false">IF($A215="","",IF(N(O215)=0,"",$A215+VLOOKUP(N215,Schichten!$A$5:$G$24,3,FALSE())))</f>
        <v>46598.9166666667</v>
      </c>
      <c r="R215" s="28" t="n">
        <f aca="false">IF(Q215="","",$A215+VLOOKUP(N215,Schichten!$A$5:$G$24,4,FALSE())+IF(VLOOKUP(N215,Schichten!$A$5:$G$24,4,FALSE())&lt;=VLOOKUP(N215,Schichten!$A$5:$G$24,3,FALSE()),1,0))</f>
        <v>46599.25</v>
      </c>
      <c r="S215" s="28" t="n">
        <f aca="false">IF($A215="","",IF(N(O214)&gt;0,R214,S214))</f>
        <v>46598.25</v>
      </c>
      <c r="T215" s="27" t="n">
        <f aca="false">IF(OR(Q215="",S215=""),"",(Q215-S215)*24)</f>
        <v>16</v>
      </c>
      <c r="U215" s="21" t="n">
        <f aca="false">IF($A215="","",IF(N(O215)&gt;0,N(U214)+1,0))</f>
        <v>6</v>
      </c>
      <c r="V215" s="21" t="n">
        <f aca="false">IF($A215="","",IF(N(P215)&gt;0,N(V214)+1,0))</f>
        <v>2</v>
      </c>
      <c r="W215" s="21" t="str">
        <f aca="false">IF($A215="","",IF(WEEKDAY($A215,2)&lt;&gt;7,"",IF(AND(OR(Q215="",N(Q215)&gt;=$A215+16/24,N(R215)&lt;=$A215+6/24),OR(S215="",N(S215)&lt;=$A215+6/24)),1,0)))</f>
        <v/>
      </c>
      <c r="X215" s="26" t="str">
        <f aca="false">IF($A215="","",IF(INDEX(Muster!$C$8:$BF$8,1,MOD($A215-Einstellungen!$C$6,Einstellungen!$C$7)+1)="","-",INDEX(Muster!$C$8:$BF$8,1,MOD($A215-Einstellungen!$C$6,Einstellungen!$C$7)+1)))</f>
        <v>S</v>
      </c>
      <c r="Y215" s="27" t="n">
        <f aca="false">IF($A215="","",IFERROR(VLOOKUP(X215,Schichten!$A$5:$G$24,6,FALSE()),0))</f>
        <v>8</v>
      </c>
      <c r="Z215" s="27" t="n">
        <f aca="false">IF($A215="","",IFERROR(VLOOKUP(X215,Schichten!$A$5:$G$24,7,FALSE()),0))</f>
        <v>0</v>
      </c>
      <c r="AA215" s="28" t="n">
        <f aca="false">IF($A215="","",IF(N(Y215)=0,"",$A215+VLOOKUP(X215,Schichten!$A$5:$G$24,3,FALSE())))</f>
        <v>46598.5833333333</v>
      </c>
      <c r="AB215" s="28" t="n">
        <f aca="false">IF(AA215="","",$A215+VLOOKUP(X215,Schichten!$A$5:$G$24,4,FALSE())+IF(VLOOKUP(X215,Schichten!$A$5:$G$24,4,FALSE())&lt;=VLOOKUP(X215,Schichten!$A$5:$G$24,3,FALSE()),1,0))</f>
        <v>46598.9166666667</v>
      </c>
      <c r="AC215" s="28" t="n">
        <f aca="false">IF($A215="","",IF(N(Y214)&gt;0,AB214,AC214))</f>
        <v>46597.9166666667</v>
      </c>
      <c r="AD215" s="27" t="n">
        <f aca="false">IF(OR(AA215="",AC215=""),"",(AA215-AC215)*24)</f>
        <v>16</v>
      </c>
      <c r="AE215" s="21" t="n">
        <f aca="false">IF($A215="","",IF(N(Y215)&gt;0,N(AE214)+1,0))</f>
        <v>4</v>
      </c>
      <c r="AF215" s="21" t="n">
        <f aca="false">IF($A215="","",IF(N(Z215)&gt;0,N(AF214)+1,0))</f>
        <v>0</v>
      </c>
      <c r="AG215" s="21" t="str">
        <f aca="false">IF($A215="","",IF(WEEKDAY($A215,2)&lt;&gt;7,"",IF(AND(OR(AA215="",N(AA215)&gt;=$A215+16/24,N(AB215)&lt;=$A215+6/24),OR(AC215="",N(AC215)&lt;=$A215+6/24)),1,0)))</f>
        <v/>
      </c>
      <c r="AH215" s="26" t="str">
        <f aca="false">IF($A215="","",IF(INDEX(Muster!$C$9:$BF$9,1,MOD($A215-Einstellungen!$C$6,Einstellungen!$C$7)+1)="","-",INDEX(Muster!$C$9:$BF$9,1,MOD($A215-Einstellungen!$C$6,Einstellungen!$C$7)+1)))</f>
        <v>F</v>
      </c>
      <c r="AI215" s="27" t="n">
        <f aca="false">IF($A215="","",IFERROR(VLOOKUP(AH215,Schichten!$A$5:$G$24,6,FALSE()),0))</f>
        <v>8</v>
      </c>
      <c r="AJ215" s="27" t="n">
        <f aca="false">IF($A215="","",IFERROR(VLOOKUP(AH215,Schichten!$A$5:$G$24,7,FALSE()),0))</f>
        <v>0</v>
      </c>
      <c r="AK215" s="28" t="n">
        <f aca="false">IF($A215="","",IF(N(AI215)=0,"",$A215+VLOOKUP(AH215,Schichten!$A$5:$G$24,3,FALSE())))</f>
        <v>46598.25</v>
      </c>
      <c r="AL215" s="28" t="n">
        <f aca="false">IF(AK215="","",$A215+VLOOKUP(AH215,Schichten!$A$5:$G$24,4,FALSE())+IF(VLOOKUP(AH215,Schichten!$A$5:$G$24,4,FALSE())&lt;=VLOOKUP(AH215,Schichten!$A$5:$G$24,3,FALSE()),1,0))</f>
        <v>46598.5833333333</v>
      </c>
      <c r="AM215" s="28" t="n">
        <f aca="false">IF($A215="","",IF(N(AI214)&gt;0,AL214,AM214))</f>
        <v>46597.5833333333</v>
      </c>
      <c r="AN215" s="27" t="n">
        <f aca="false">IF(OR(AK215="",AM215=""),"",(AK215-AM215)*24)</f>
        <v>16</v>
      </c>
      <c r="AO215" s="21" t="n">
        <f aca="false">IF($A215="","",IF(N(AI215)&gt;0,N(AO214)+1,0))</f>
        <v>2</v>
      </c>
      <c r="AP215" s="21" t="n">
        <f aca="false">IF($A215="","",IF(N(AJ215)&gt;0,N(AP214)+1,0))</f>
        <v>0</v>
      </c>
      <c r="AQ215" s="21" t="str">
        <f aca="false">IF($A215="","",IF(WEEKDAY($A215,2)&lt;&gt;7,"",IF(AND(OR(AK215="",N(AK215)&gt;=$A215+16/24,N(AL215)&lt;=$A215+6/24),OR(AM215="",N(AM215)&lt;=$A215+6/24)),1,0)))</f>
        <v/>
      </c>
      <c r="AR215" s="26" t="str">
        <f aca="false">IF($A215="","",IF(INDEX(Muster!$C$10:$BF$10,1,MOD($A215-Einstellungen!$C$6,Einstellungen!$C$7)+1)="","-",INDEX(Muster!$C$10:$BF$10,1,MOD($A215-Einstellungen!$C$6,Einstellungen!$C$7)+1)))</f>
        <v>-</v>
      </c>
      <c r="AS215" s="27" t="n">
        <f aca="false">IF($A215="","",IFERROR(VLOOKUP(AR215,Schichten!$A$5:$G$24,6,FALSE()),0))</f>
        <v>0</v>
      </c>
      <c r="AT215" s="27" t="n">
        <f aca="false">IF($A215="","",IFERROR(VLOOKUP(AR215,Schichten!$A$5:$G$24,7,FALSE()),0))</f>
        <v>0</v>
      </c>
      <c r="AU215" s="28" t="str">
        <f aca="false">IF($A215="","",IF(N(AS215)=0,"",$A215+VLOOKUP(AR215,Schichten!$A$5:$G$24,3,FALSE())))</f>
        <v/>
      </c>
      <c r="AV215" s="28" t="str">
        <f aca="false">IF(AU215="","",$A215+VLOOKUP(AR215,Schichten!$A$5:$G$24,4,FALSE())+IF(VLOOKUP(AR215,Schichten!$A$5:$G$24,4,FALSE())&lt;=VLOOKUP(AR215,Schichten!$A$5:$G$24,3,FALSE()),1,0))</f>
        <v/>
      </c>
      <c r="AW215" s="28" t="str">
        <f aca="false">IF($A215="","",IF(N(AS214)&gt;0,AV214,AW214))</f>
        <v/>
      </c>
      <c r="AX215" s="27" t="str">
        <f aca="false">IF(OR(AU215="",AW215=""),"",(AU215-AW215)*24)</f>
        <v/>
      </c>
      <c r="AY215" s="21" t="n">
        <f aca="false">IF($A215="","",IF(N(AS215)&gt;0,N(AY214)+1,0))</f>
        <v>0</v>
      </c>
      <c r="AZ215" s="21" t="n">
        <f aca="false">IF($A215="","",IF(N(AT215)&gt;0,N(AZ214)+1,0))</f>
        <v>0</v>
      </c>
      <c r="BA215" s="21" t="str">
        <f aca="false">IF($A215="","",IF(WEEKDAY($A215,2)&lt;&gt;7,"",IF(AND(OR(AU215="",N(AU215)&gt;=$A215+16/24,N(AV215)&lt;=$A215+6/24),OR(AW215="",N(AW215)&lt;=$A215+6/24)),1,0)))</f>
        <v/>
      </c>
    </row>
    <row r="216" customFormat="false" ht="15" hidden="false" customHeight="false" outlineLevel="0" collapsed="false">
      <c r="A216" s="25" t="n">
        <f aca="false">IF(YEAR(DATE(Einstellungen!$C$4,1,1)+211)=Einstellungen!$C$4,DATE(Einstellungen!$C$4,1,1)+211,"")</f>
        <v>46599</v>
      </c>
      <c r="B216" s="26" t="str">
        <f aca="false">IF($A216="","",CHOOSE(WEEKDAY($A216,2),"Mo","Di","Mi","Do","Fr","Sa","So"))</f>
        <v>Sa</v>
      </c>
      <c r="C216" s="26" t="n">
        <f aca="false">IF($A216="","",MONTH($A216))</f>
        <v>7</v>
      </c>
      <c r="D216" s="26" t="str">
        <f aca="false">IF($A216="","",IF(INDEX(Muster!$C$6:$BF$6,1,MOD($A216-Einstellungen!$C$6,Einstellungen!$C$7)+1)="","-",INDEX(Muster!$C$6:$BF$6,1,MOD($A216-Einstellungen!$C$6,Einstellungen!$C$7)+1)))</f>
        <v>F</v>
      </c>
      <c r="E216" s="27" t="n">
        <f aca="false">IF($A216="","",IFERROR(VLOOKUP(D216,Schichten!$A$5:$G$24,6,FALSE()),0))</f>
        <v>8</v>
      </c>
      <c r="F216" s="27" t="n">
        <f aca="false">IF($A216="","",IFERROR(VLOOKUP(D216,Schichten!$A$5:$G$24,7,FALSE()),0))</f>
        <v>0</v>
      </c>
      <c r="G216" s="28" t="n">
        <f aca="false">IF($A216="","",IF(N(E216)=0,"",$A216+VLOOKUP(D216,Schichten!$A$5:$G$24,3,FALSE())))</f>
        <v>46599.25</v>
      </c>
      <c r="H216" s="28" t="n">
        <f aca="false">IF(G216="","",$A216+VLOOKUP(D216,Schichten!$A$5:$G$24,4,FALSE())+IF(VLOOKUP(D216,Schichten!$A$5:$G$24,4,FALSE())&lt;=VLOOKUP(D216,Schichten!$A$5:$G$24,3,FALSE()),1,0))</f>
        <v>46599.5833333333</v>
      </c>
      <c r="I216" s="28" t="n">
        <f aca="false">IF($A216="","",IF(N(E215)&gt;0,H215,I215))</f>
        <v>46597.25</v>
      </c>
      <c r="J216" s="27" t="n">
        <f aca="false">IF(OR(G216="",I216=""),"",(G216-I216)*24)</f>
        <v>48</v>
      </c>
      <c r="K216" s="21" t="n">
        <f aca="false">IF($A216="","",IF(N(E216)&gt;0,N(K215)+1,0))</f>
        <v>1</v>
      </c>
      <c r="L216" s="21" t="n">
        <f aca="false">IF($A216="","",IF(N(F216)&gt;0,N(L215)+1,0))</f>
        <v>0</v>
      </c>
      <c r="M216" s="21" t="str">
        <f aca="false">IF($A216="","",IF(WEEKDAY($A216,2)&lt;&gt;7,"",IF(AND(OR(G216="",N(G216)&gt;=$A216+16/24,N(H216)&lt;=$A216+6/24),OR(I216="",N(I216)&lt;=$A216+6/24)),1,0)))</f>
        <v/>
      </c>
      <c r="N216" s="26" t="str">
        <f aca="false">IF($A216="","",IF(INDEX(Muster!$C$7:$BF$7,1,MOD($A216-Einstellungen!$C$6,Einstellungen!$C$7)+1)="","-",INDEX(Muster!$C$7:$BF$7,1,MOD($A216-Einstellungen!$C$6,Einstellungen!$C$7)+1)))</f>
        <v>-</v>
      </c>
      <c r="O216" s="27" t="n">
        <f aca="false">IF($A216="","",IFERROR(VLOOKUP(N216,Schichten!$A$5:$G$24,6,FALSE()),0))</f>
        <v>0</v>
      </c>
      <c r="P216" s="27" t="n">
        <f aca="false">IF($A216="","",IFERROR(VLOOKUP(N216,Schichten!$A$5:$G$24,7,FALSE()),0))</f>
        <v>0</v>
      </c>
      <c r="Q216" s="28" t="str">
        <f aca="false">IF($A216="","",IF(N(O216)=0,"",$A216+VLOOKUP(N216,Schichten!$A$5:$G$24,3,FALSE())))</f>
        <v/>
      </c>
      <c r="R216" s="28" t="str">
        <f aca="false">IF(Q216="","",$A216+VLOOKUP(N216,Schichten!$A$5:$G$24,4,FALSE())+IF(VLOOKUP(N216,Schichten!$A$5:$G$24,4,FALSE())&lt;=VLOOKUP(N216,Schichten!$A$5:$G$24,3,FALSE()),1,0))</f>
        <v/>
      </c>
      <c r="S216" s="28" t="n">
        <f aca="false">IF($A216="","",IF(N(O215)&gt;0,R215,S215))</f>
        <v>46599.25</v>
      </c>
      <c r="T216" s="27" t="str">
        <f aca="false">IF(OR(Q216="",S216=""),"",(Q216-S216)*24)</f>
        <v/>
      </c>
      <c r="U216" s="21" t="n">
        <f aca="false">IF($A216="","",IF(N(O216)&gt;0,N(U215)+1,0))</f>
        <v>0</v>
      </c>
      <c r="V216" s="21" t="n">
        <f aca="false">IF($A216="","",IF(N(P216)&gt;0,N(V215)+1,0))</f>
        <v>0</v>
      </c>
      <c r="W216" s="21" t="str">
        <f aca="false">IF($A216="","",IF(WEEKDAY($A216,2)&lt;&gt;7,"",IF(AND(OR(Q216="",N(Q216)&gt;=$A216+16/24,N(R216)&lt;=$A216+6/24),OR(S216="",N(S216)&lt;=$A216+6/24)),1,0)))</f>
        <v/>
      </c>
      <c r="X216" s="26" t="str">
        <f aca="false">IF($A216="","",IF(INDEX(Muster!$C$8:$BF$8,1,MOD($A216-Einstellungen!$C$6,Einstellungen!$C$7)+1)="","-",INDEX(Muster!$C$8:$BF$8,1,MOD($A216-Einstellungen!$C$6,Einstellungen!$C$7)+1)))</f>
        <v>N</v>
      </c>
      <c r="Y216" s="27" t="n">
        <f aca="false">IF($A216="","",IFERROR(VLOOKUP(X216,Schichten!$A$5:$G$24,6,FALSE()),0))</f>
        <v>8</v>
      </c>
      <c r="Z216" s="27" t="n">
        <f aca="false">IF($A216="","",IFERROR(VLOOKUP(X216,Schichten!$A$5:$G$24,7,FALSE()),0))</f>
        <v>7</v>
      </c>
      <c r="AA216" s="28" t="n">
        <f aca="false">IF($A216="","",IF(N(Y216)=0,"",$A216+VLOOKUP(X216,Schichten!$A$5:$G$24,3,FALSE())))</f>
        <v>46599.9166666667</v>
      </c>
      <c r="AB216" s="28" t="n">
        <f aca="false">IF(AA216="","",$A216+VLOOKUP(X216,Schichten!$A$5:$G$24,4,FALSE())+IF(VLOOKUP(X216,Schichten!$A$5:$G$24,4,FALSE())&lt;=VLOOKUP(X216,Schichten!$A$5:$G$24,3,FALSE()),1,0))</f>
        <v>46600.25</v>
      </c>
      <c r="AC216" s="28" t="n">
        <f aca="false">IF($A216="","",IF(N(Y215)&gt;0,AB215,AC215))</f>
        <v>46598.9166666667</v>
      </c>
      <c r="AD216" s="27" t="n">
        <f aca="false">IF(OR(AA216="",AC216=""),"",(AA216-AC216)*24)</f>
        <v>24</v>
      </c>
      <c r="AE216" s="21" t="n">
        <f aca="false">IF($A216="","",IF(N(Y216)&gt;0,N(AE215)+1,0))</f>
        <v>5</v>
      </c>
      <c r="AF216" s="21" t="n">
        <f aca="false">IF($A216="","",IF(N(Z216)&gt;0,N(AF215)+1,0))</f>
        <v>1</v>
      </c>
      <c r="AG216" s="21" t="str">
        <f aca="false">IF($A216="","",IF(WEEKDAY($A216,2)&lt;&gt;7,"",IF(AND(OR(AA216="",N(AA216)&gt;=$A216+16/24,N(AB216)&lt;=$A216+6/24),OR(AC216="",N(AC216)&lt;=$A216+6/24)),1,0)))</f>
        <v/>
      </c>
      <c r="AH216" s="26" t="str">
        <f aca="false">IF($A216="","",IF(INDEX(Muster!$C$9:$BF$9,1,MOD($A216-Einstellungen!$C$6,Einstellungen!$C$7)+1)="","-",INDEX(Muster!$C$9:$BF$9,1,MOD($A216-Einstellungen!$C$6,Einstellungen!$C$7)+1)))</f>
        <v>S</v>
      </c>
      <c r="AI216" s="27" t="n">
        <f aca="false">IF($A216="","",IFERROR(VLOOKUP(AH216,Schichten!$A$5:$G$24,6,FALSE()),0))</f>
        <v>8</v>
      </c>
      <c r="AJ216" s="27" t="n">
        <f aca="false">IF($A216="","",IFERROR(VLOOKUP(AH216,Schichten!$A$5:$G$24,7,FALSE()),0))</f>
        <v>0</v>
      </c>
      <c r="AK216" s="28" t="n">
        <f aca="false">IF($A216="","",IF(N(AI216)=0,"",$A216+VLOOKUP(AH216,Schichten!$A$5:$G$24,3,FALSE())))</f>
        <v>46599.5833333333</v>
      </c>
      <c r="AL216" s="28" t="n">
        <f aca="false">IF(AK216="","",$A216+VLOOKUP(AH216,Schichten!$A$5:$G$24,4,FALSE())+IF(VLOOKUP(AH216,Schichten!$A$5:$G$24,4,FALSE())&lt;=VLOOKUP(AH216,Schichten!$A$5:$G$24,3,FALSE()),1,0))</f>
        <v>46599.9166666667</v>
      </c>
      <c r="AM216" s="28" t="n">
        <f aca="false">IF($A216="","",IF(N(AI215)&gt;0,AL215,AM215))</f>
        <v>46598.5833333333</v>
      </c>
      <c r="AN216" s="27" t="n">
        <f aca="false">IF(OR(AK216="",AM216=""),"",(AK216-AM216)*24)</f>
        <v>24</v>
      </c>
      <c r="AO216" s="21" t="n">
        <f aca="false">IF($A216="","",IF(N(AI216)&gt;0,N(AO215)+1,0))</f>
        <v>3</v>
      </c>
      <c r="AP216" s="21" t="n">
        <f aca="false">IF($A216="","",IF(N(AJ216)&gt;0,N(AP215)+1,0))</f>
        <v>0</v>
      </c>
      <c r="AQ216" s="21" t="str">
        <f aca="false">IF($A216="","",IF(WEEKDAY($A216,2)&lt;&gt;7,"",IF(AND(OR(AK216="",N(AK216)&gt;=$A216+16/24,N(AL216)&lt;=$A216+6/24),OR(AM216="",N(AM216)&lt;=$A216+6/24)),1,0)))</f>
        <v/>
      </c>
      <c r="AR216" s="26" t="str">
        <f aca="false">IF($A216="","",IF(INDEX(Muster!$C$10:$BF$10,1,MOD($A216-Einstellungen!$C$6,Einstellungen!$C$7)+1)="","-",INDEX(Muster!$C$10:$BF$10,1,MOD($A216-Einstellungen!$C$6,Einstellungen!$C$7)+1)))</f>
        <v>-</v>
      </c>
      <c r="AS216" s="27" t="n">
        <f aca="false">IF($A216="","",IFERROR(VLOOKUP(AR216,Schichten!$A$5:$G$24,6,FALSE()),0))</f>
        <v>0</v>
      </c>
      <c r="AT216" s="27" t="n">
        <f aca="false">IF($A216="","",IFERROR(VLOOKUP(AR216,Schichten!$A$5:$G$24,7,FALSE()),0))</f>
        <v>0</v>
      </c>
      <c r="AU216" s="28" t="str">
        <f aca="false">IF($A216="","",IF(N(AS216)=0,"",$A216+VLOOKUP(AR216,Schichten!$A$5:$G$24,3,FALSE())))</f>
        <v/>
      </c>
      <c r="AV216" s="28" t="str">
        <f aca="false">IF(AU216="","",$A216+VLOOKUP(AR216,Schichten!$A$5:$G$24,4,FALSE())+IF(VLOOKUP(AR216,Schichten!$A$5:$G$24,4,FALSE())&lt;=VLOOKUP(AR216,Schichten!$A$5:$G$24,3,FALSE()),1,0))</f>
        <v/>
      </c>
      <c r="AW216" s="28" t="str">
        <f aca="false">IF($A216="","",IF(N(AS215)&gt;0,AV215,AW215))</f>
        <v/>
      </c>
      <c r="AX216" s="27" t="str">
        <f aca="false">IF(OR(AU216="",AW216=""),"",(AU216-AW216)*24)</f>
        <v/>
      </c>
      <c r="AY216" s="21" t="n">
        <f aca="false">IF($A216="","",IF(N(AS216)&gt;0,N(AY215)+1,0))</f>
        <v>0</v>
      </c>
      <c r="AZ216" s="21" t="n">
        <f aca="false">IF($A216="","",IF(N(AT216)&gt;0,N(AZ215)+1,0))</f>
        <v>0</v>
      </c>
      <c r="BA216" s="21" t="str">
        <f aca="false">IF($A216="","",IF(WEEKDAY($A216,2)&lt;&gt;7,"",IF(AND(OR(AU216="",N(AU216)&gt;=$A216+16/24,N(AV216)&lt;=$A216+6/24),OR(AW216="",N(AW216)&lt;=$A216+6/24)),1,0)))</f>
        <v/>
      </c>
    </row>
    <row r="217" customFormat="false" ht="15" hidden="false" customHeight="false" outlineLevel="0" collapsed="false">
      <c r="A217" s="25" t="n">
        <f aca="false">IF(YEAR(DATE(Einstellungen!$C$4,1,1)+212)=Einstellungen!$C$4,DATE(Einstellungen!$C$4,1,1)+212,"")</f>
        <v>46600</v>
      </c>
      <c r="B217" s="26" t="str">
        <f aca="false">IF($A217="","",CHOOSE(WEEKDAY($A217,2),"Mo","Di","Mi","Do","Fr","Sa","So"))</f>
        <v>So</v>
      </c>
      <c r="C217" s="26" t="n">
        <f aca="false">IF($A217="","",MONTH($A217))</f>
        <v>8</v>
      </c>
      <c r="D217" s="26" t="str">
        <f aca="false">IF($A217="","",IF(INDEX(Muster!$C$6:$BF$6,1,MOD($A217-Einstellungen!$C$6,Einstellungen!$C$7)+1)="","-",INDEX(Muster!$C$6:$BF$6,1,MOD($A217-Einstellungen!$C$6,Einstellungen!$C$7)+1)))</f>
        <v>F</v>
      </c>
      <c r="E217" s="27" t="n">
        <f aca="false">IF($A217="","",IFERROR(VLOOKUP(D217,Schichten!$A$5:$G$24,6,FALSE()),0))</f>
        <v>8</v>
      </c>
      <c r="F217" s="27" t="n">
        <f aca="false">IF($A217="","",IFERROR(VLOOKUP(D217,Schichten!$A$5:$G$24,7,FALSE()),0))</f>
        <v>0</v>
      </c>
      <c r="G217" s="28" t="n">
        <f aca="false">IF($A217="","",IF(N(E217)=0,"",$A217+VLOOKUP(D217,Schichten!$A$5:$G$24,3,FALSE())))</f>
        <v>46600.25</v>
      </c>
      <c r="H217" s="28" t="n">
        <f aca="false">IF(G217="","",$A217+VLOOKUP(D217,Schichten!$A$5:$G$24,4,FALSE())+IF(VLOOKUP(D217,Schichten!$A$5:$G$24,4,FALSE())&lt;=VLOOKUP(D217,Schichten!$A$5:$G$24,3,FALSE()),1,0))</f>
        <v>46600.5833333333</v>
      </c>
      <c r="I217" s="28" t="n">
        <f aca="false">IF($A217="","",IF(N(E216)&gt;0,H216,I216))</f>
        <v>46599.5833333333</v>
      </c>
      <c r="J217" s="27" t="n">
        <f aca="false">IF(OR(G217="",I217=""),"",(G217-I217)*24)</f>
        <v>16</v>
      </c>
      <c r="K217" s="21" t="n">
        <f aca="false">IF($A217="","",IF(N(E217)&gt;0,N(K216)+1,0))</f>
        <v>2</v>
      </c>
      <c r="L217" s="21" t="n">
        <f aca="false">IF($A217="","",IF(N(F217)&gt;0,N(L216)+1,0))</f>
        <v>0</v>
      </c>
      <c r="M217" s="21" t="n">
        <f aca="false">IF($A217="","",IF(WEEKDAY($A217,2)&lt;&gt;7,"",IF(AND(OR(G217="",N(G217)&gt;=$A217+16/24,N(H217)&lt;=$A217+6/24),OR(I217="",N(I217)&lt;=$A217+6/24)),1,0)))</f>
        <v>0</v>
      </c>
      <c r="N217" s="26" t="str">
        <f aca="false">IF($A217="","",IF(INDEX(Muster!$C$7:$BF$7,1,MOD($A217-Einstellungen!$C$6,Einstellungen!$C$7)+1)="","-",INDEX(Muster!$C$7:$BF$7,1,MOD($A217-Einstellungen!$C$6,Einstellungen!$C$7)+1)))</f>
        <v>-</v>
      </c>
      <c r="O217" s="27" t="n">
        <f aca="false">IF($A217="","",IFERROR(VLOOKUP(N217,Schichten!$A$5:$G$24,6,FALSE()),0))</f>
        <v>0</v>
      </c>
      <c r="P217" s="27" t="n">
        <f aca="false">IF($A217="","",IFERROR(VLOOKUP(N217,Schichten!$A$5:$G$24,7,FALSE()),0))</f>
        <v>0</v>
      </c>
      <c r="Q217" s="28" t="str">
        <f aca="false">IF($A217="","",IF(N(O217)=0,"",$A217+VLOOKUP(N217,Schichten!$A$5:$G$24,3,FALSE())))</f>
        <v/>
      </c>
      <c r="R217" s="28" t="str">
        <f aca="false">IF(Q217="","",$A217+VLOOKUP(N217,Schichten!$A$5:$G$24,4,FALSE())+IF(VLOOKUP(N217,Schichten!$A$5:$G$24,4,FALSE())&lt;=VLOOKUP(N217,Schichten!$A$5:$G$24,3,FALSE()),1,0))</f>
        <v/>
      </c>
      <c r="S217" s="28" t="n">
        <f aca="false">IF($A217="","",IF(N(O216)&gt;0,R216,S216))</f>
        <v>46599.25</v>
      </c>
      <c r="T217" s="27" t="str">
        <f aca="false">IF(OR(Q217="",S217=""),"",(Q217-S217)*24)</f>
        <v/>
      </c>
      <c r="U217" s="21" t="n">
        <f aca="false">IF($A217="","",IF(N(O217)&gt;0,N(U216)+1,0))</f>
        <v>0</v>
      </c>
      <c r="V217" s="21" t="n">
        <f aca="false">IF($A217="","",IF(N(P217)&gt;0,N(V216)+1,0))</f>
        <v>0</v>
      </c>
      <c r="W217" s="21" t="n">
        <f aca="false">IF($A217="","",IF(WEEKDAY($A217,2)&lt;&gt;7,"",IF(AND(OR(Q217="",N(Q217)&gt;=$A217+16/24,N(R217)&lt;=$A217+6/24),OR(S217="",N(S217)&lt;=$A217+6/24)),1,0)))</f>
        <v>1</v>
      </c>
      <c r="X217" s="26" t="str">
        <f aca="false">IF($A217="","",IF(INDEX(Muster!$C$8:$BF$8,1,MOD($A217-Einstellungen!$C$6,Einstellungen!$C$7)+1)="","-",INDEX(Muster!$C$8:$BF$8,1,MOD($A217-Einstellungen!$C$6,Einstellungen!$C$7)+1)))</f>
        <v>N</v>
      </c>
      <c r="Y217" s="27" t="n">
        <f aca="false">IF($A217="","",IFERROR(VLOOKUP(X217,Schichten!$A$5:$G$24,6,FALSE()),0))</f>
        <v>8</v>
      </c>
      <c r="Z217" s="27" t="n">
        <f aca="false">IF($A217="","",IFERROR(VLOOKUP(X217,Schichten!$A$5:$G$24,7,FALSE()),0))</f>
        <v>7</v>
      </c>
      <c r="AA217" s="28" t="n">
        <f aca="false">IF($A217="","",IF(N(Y217)=0,"",$A217+VLOOKUP(X217,Schichten!$A$5:$G$24,3,FALSE())))</f>
        <v>46600.9166666667</v>
      </c>
      <c r="AB217" s="28" t="n">
        <f aca="false">IF(AA217="","",$A217+VLOOKUP(X217,Schichten!$A$5:$G$24,4,FALSE())+IF(VLOOKUP(X217,Schichten!$A$5:$G$24,4,FALSE())&lt;=VLOOKUP(X217,Schichten!$A$5:$G$24,3,FALSE()),1,0))</f>
        <v>46601.25</v>
      </c>
      <c r="AC217" s="28" t="n">
        <f aca="false">IF($A217="","",IF(N(Y216)&gt;0,AB216,AC216))</f>
        <v>46600.25</v>
      </c>
      <c r="AD217" s="27" t="n">
        <f aca="false">IF(OR(AA217="",AC217=""),"",(AA217-AC217)*24)</f>
        <v>16</v>
      </c>
      <c r="AE217" s="21" t="n">
        <f aca="false">IF($A217="","",IF(N(Y217)&gt;0,N(AE216)+1,0))</f>
        <v>6</v>
      </c>
      <c r="AF217" s="21" t="n">
        <f aca="false">IF($A217="","",IF(N(Z217)&gt;0,N(AF216)+1,0))</f>
        <v>2</v>
      </c>
      <c r="AG217" s="21" t="n">
        <f aca="false">IF($A217="","",IF(WEEKDAY($A217,2)&lt;&gt;7,"",IF(AND(OR(AA217="",N(AA217)&gt;=$A217+16/24,N(AB217)&lt;=$A217+6/24),OR(AC217="",N(AC217)&lt;=$A217+6/24)),1,0)))</f>
        <v>1</v>
      </c>
      <c r="AH217" s="26" t="str">
        <f aca="false">IF($A217="","",IF(INDEX(Muster!$C$9:$BF$9,1,MOD($A217-Einstellungen!$C$6,Einstellungen!$C$7)+1)="","-",INDEX(Muster!$C$9:$BF$9,1,MOD($A217-Einstellungen!$C$6,Einstellungen!$C$7)+1)))</f>
        <v>S</v>
      </c>
      <c r="AI217" s="27" t="n">
        <f aca="false">IF($A217="","",IFERROR(VLOOKUP(AH217,Schichten!$A$5:$G$24,6,FALSE()),0))</f>
        <v>8</v>
      </c>
      <c r="AJ217" s="27" t="n">
        <f aca="false">IF($A217="","",IFERROR(VLOOKUP(AH217,Schichten!$A$5:$G$24,7,FALSE()),0))</f>
        <v>0</v>
      </c>
      <c r="AK217" s="28" t="n">
        <f aca="false">IF($A217="","",IF(N(AI217)=0,"",$A217+VLOOKUP(AH217,Schichten!$A$5:$G$24,3,FALSE())))</f>
        <v>46600.5833333333</v>
      </c>
      <c r="AL217" s="28" t="n">
        <f aca="false">IF(AK217="","",$A217+VLOOKUP(AH217,Schichten!$A$5:$G$24,4,FALSE())+IF(VLOOKUP(AH217,Schichten!$A$5:$G$24,4,FALSE())&lt;=VLOOKUP(AH217,Schichten!$A$5:$G$24,3,FALSE()),1,0))</f>
        <v>46600.9166666667</v>
      </c>
      <c r="AM217" s="28" t="n">
        <f aca="false">IF($A217="","",IF(N(AI216)&gt;0,AL216,AM216))</f>
        <v>46599.9166666667</v>
      </c>
      <c r="AN217" s="27" t="n">
        <f aca="false">IF(OR(AK217="",AM217=""),"",(AK217-AM217)*24)</f>
        <v>16</v>
      </c>
      <c r="AO217" s="21" t="n">
        <f aca="false">IF($A217="","",IF(N(AI217)&gt;0,N(AO216)+1,0))</f>
        <v>4</v>
      </c>
      <c r="AP217" s="21" t="n">
        <f aca="false">IF($A217="","",IF(N(AJ217)&gt;0,N(AP216)+1,0))</f>
        <v>0</v>
      </c>
      <c r="AQ217" s="21" t="n">
        <f aca="false">IF($A217="","",IF(WEEKDAY($A217,2)&lt;&gt;7,"",IF(AND(OR(AK217="",N(AK217)&gt;=$A217+16/24,N(AL217)&lt;=$A217+6/24),OR(AM217="",N(AM217)&lt;=$A217+6/24)),1,0)))</f>
        <v>0</v>
      </c>
      <c r="AR217" s="26" t="str">
        <f aca="false">IF($A217="","",IF(INDEX(Muster!$C$10:$BF$10,1,MOD($A217-Einstellungen!$C$6,Einstellungen!$C$7)+1)="","-",INDEX(Muster!$C$10:$BF$10,1,MOD($A217-Einstellungen!$C$6,Einstellungen!$C$7)+1)))</f>
        <v>-</v>
      </c>
      <c r="AS217" s="27" t="n">
        <f aca="false">IF($A217="","",IFERROR(VLOOKUP(AR217,Schichten!$A$5:$G$24,6,FALSE()),0))</f>
        <v>0</v>
      </c>
      <c r="AT217" s="27" t="n">
        <f aca="false">IF($A217="","",IFERROR(VLOOKUP(AR217,Schichten!$A$5:$G$24,7,FALSE()),0))</f>
        <v>0</v>
      </c>
      <c r="AU217" s="28" t="str">
        <f aca="false">IF($A217="","",IF(N(AS217)=0,"",$A217+VLOOKUP(AR217,Schichten!$A$5:$G$24,3,FALSE())))</f>
        <v/>
      </c>
      <c r="AV217" s="28" t="str">
        <f aca="false">IF(AU217="","",$A217+VLOOKUP(AR217,Schichten!$A$5:$G$24,4,FALSE())+IF(VLOOKUP(AR217,Schichten!$A$5:$G$24,4,FALSE())&lt;=VLOOKUP(AR217,Schichten!$A$5:$G$24,3,FALSE()),1,0))</f>
        <v/>
      </c>
      <c r="AW217" s="28" t="str">
        <f aca="false">IF($A217="","",IF(N(AS216)&gt;0,AV216,AW216))</f>
        <v/>
      </c>
      <c r="AX217" s="27" t="str">
        <f aca="false">IF(OR(AU217="",AW217=""),"",(AU217-AW217)*24)</f>
        <v/>
      </c>
      <c r="AY217" s="21" t="n">
        <f aca="false">IF($A217="","",IF(N(AS217)&gt;0,N(AY216)+1,0))</f>
        <v>0</v>
      </c>
      <c r="AZ217" s="21" t="n">
        <f aca="false">IF($A217="","",IF(N(AT217)&gt;0,N(AZ216)+1,0))</f>
        <v>0</v>
      </c>
      <c r="BA217" s="21" t="n">
        <f aca="false">IF($A217="","",IF(WEEKDAY($A217,2)&lt;&gt;7,"",IF(AND(OR(AU217="",N(AU217)&gt;=$A217+16/24,N(AV217)&lt;=$A217+6/24),OR(AW217="",N(AW217)&lt;=$A217+6/24)),1,0)))</f>
        <v>1</v>
      </c>
    </row>
    <row r="218" customFormat="false" ht="15" hidden="false" customHeight="false" outlineLevel="0" collapsed="false">
      <c r="A218" s="25" t="n">
        <f aca="false">IF(YEAR(DATE(Einstellungen!$C$4,1,1)+213)=Einstellungen!$C$4,DATE(Einstellungen!$C$4,1,1)+213,"")</f>
        <v>46601</v>
      </c>
      <c r="B218" s="26" t="str">
        <f aca="false">IF($A218="","",CHOOSE(WEEKDAY($A218,2),"Mo","Di","Mi","Do","Fr","Sa","So"))</f>
        <v>Mo</v>
      </c>
      <c r="C218" s="26" t="n">
        <f aca="false">IF($A218="","",MONTH($A218))</f>
        <v>8</v>
      </c>
      <c r="D218" s="26" t="str">
        <f aca="false">IF($A218="","",IF(INDEX(Muster!$C$6:$BF$6,1,MOD($A218-Einstellungen!$C$6,Einstellungen!$C$7)+1)="","-",INDEX(Muster!$C$6:$BF$6,1,MOD($A218-Einstellungen!$C$6,Einstellungen!$C$7)+1)))</f>
        <v>S</v>
      </c>
      <c r="E218" s="27" t="n">
        <f aca="false">IF($A218="","",IFERROR(VLOOKUP(D218,Schichten!$A$5:$G$24,6,FALSE()),0))</f>
        <v>8</v>
      </c>
      <c r="F218" s="27" t="n">
        <f aca="false">IF($A218="","",IFERROR(VLOOKUP(D218,Schichten!$A$5:$G$24,7,FALSE()),0))</f>
        <v>0</v>
      </c>
      <c r="G218" s="28" t="n">
        <f aca="false">IF($A218="","",IF(N(E218)=0,"",$A218+VLOOKUP(D218,Schichten!$A$5:$G$24,3,FALSE())))</f>
        <v>46601.5833333333</v>
      </c>
      <c r="H218" s="28" t="n">
        <f aca="false">IF(G218="","",$A218+VLOOKUP(D218,Schichten!$A$5:$G$24,4,FALSE())+IF(VLOOKUP(D218,Schichten!$A$5:$G$24,4,FALSE())&lt;=VLOOKUP(D218,Schichten!$A$5:$G$24,3,FALSE()),1,0))</f>
        <v>46601.9166666667</v>
      </c>
      <c r="I218" s="28" t="n">
        <f aca="false">IF($A218="","",IF(N(E217)&gt;0,H217,I217))</f>
        <v>46600.5833333333</v>
      </c>
      <c r="J218" s="27" t="n">
        <f aca="false">IF(OR(G218="",I218=""),"",(G218-I218)*24)</f>
        <v>24</v>
      </c>
      <c r="K218" s="21" t="n">
        <f aca="false">IF($A218="","",IF(N(E218)&gt;0,N(K217)+1,0))</f>
        <v>3</v>
      </c>
      <c r="L218" s="21" t="n">
        <f aca="false">IF($A218="","",IF(N(F218)&gt;0,N(L217)+1,0))</f>
        <v>0</v>
      </c>
      <c r="M218" s="21" t="str">
        <f aca="false">IF($A218="","",IF(WEEKDAY($A218,2)&lt;&gt;7,"",IF(AND(OR(G218="",N(G218)&gt;=$A218+16/24,N(H218)&lt;=$A218+6/24),OR(I218="",N(I218)&lt;=$A218+6/24)),1,0)))</f>
        <v/>
      </c>
      <c r="N218" s="26" t="str">
        <f aca="false">IF($A218="","",IF(INDEX(Muster!$C$7:$BF$7,1,MOD($A218-Einstellungen!$C$6,Einstellungen!$C$7)+1)="","-",INDEX(Muster!$C$7:$BF$7,1,MOD($A218-Einstellungen!$C$6,Einstellungen!$C$7)+1)))</f>
        <v>F</v>
      </c>
      <c r="O218" s="27" t="n">
        <f aca="false">IF($A218="","",IFERROR(VLOOKUP(N218,Schichten!$A$5:$G$24,6,FALSE()),0))</f>
        <v>8</v>
      </c>
      <c r="P218" s="27" t="n">
        <f aca="false">IF($A218="","",IFERROR(VLOOKUP(N218,Schichten!$A$5:$G$24,7,FALSE()),0))</f>
        <v>0</v>
      </c>
      <c r="Q218" s="28" t="n">
        <f aca="false">IF($A218="","",IF(N(O218)=0,"",$A218+VLOOKUP(N218,Schichten!$A$5:$G$24,3,FALSE())))</f>
        <v>46601.25</v>
      </c>
      <c r="R218" s="28" t="n">
        <f aca="false">IF(Q218="","",$A218+VLOOKUP(N218,Schichten!$A$5:$G$24,4,FALSE())+IF(VLOOKUP(N218,Schichten!$A$5:$G$24,4,FALSE())&lt;=VLOOKUP(N218,Schichten!$A$5:$G$24,3,FALSE()),1,0))</f>
        <v>46601.5833333333</v>
      </c>
      <c r="S218" s="28" t="n">
        <f aca="false">IF($A218="","",IF(N(O217)&gt;0,R217,S217))</f>
        <v>46599.25</v>
      </c>
      <c r="T218" s="27" t="n">
        <f aca="false">IF(OR(Q218="",S218=""),"",(Q218-S218)*24)</f>
        <v>48</v>
      </c>
      <c r="U218" s="21" t="n">
        <f aca="false">IF($A218="","",IF(N(O218)&gt;0,N(U217)+1,0))</f>
        <v>1</v>
      </c>
      <c r="V218" s="21" t="n">
        <f aca="false">IF($A218="","",IF(N(P218)&gt;0,N(V217)+1,0))</f>
        <v>0</v>
      </c>
      <c r="W218" s="21" t="str">
        <f aca="false">IF($A218="","",IF(WEEKDAY($A218,2)&lt;&gt;7,"",IF(AND(OR(Q218="",N(Q218)&gt;=$A218+16/24,N(R218)&lt;=$A218+6/24),OR(S218="",N(S218)&lt;=$A218+6/24)),1,0)))</f>
        <v/>
      </c>
      <c r="X218" s="26" t="str">
        <f aca="false">IF($A218="","",IF(INDEX(Muster!$C$8:$BF$8,1,MOD($A218-Einstellungen!$C$6,Einstellungen!$C$7)+1)="","-",INDEX(Muster!$C$8:$BF$8,1,MOD($A218-Einstellungen!$C$6,Einstellungen!$C$7)+1)))</f>
        <v>-</v>
      </c>
      <c r="Y218" s="27" t="n">
        <f aca="false">IF($A218="","",IFERROR(VLOOKUP(X218,Schichten!$A$5:$G$24,6,FALSE()),0))</f>
        <v>0</v>
      </c>
      <c r="Z218" s="27" t="n">
        <f aca="false">IF($A218="","",IFERROR(VLOOKUP(X218,Schichten!$A$5:$G$24,7,FALSE()),0))</f>
        <v>0</v>
      </c>
      <c r="AA218" s="28" t="str">
        <f aca="false">IF($A218="","",IF(N(Y218)=0,"",$A218+VLOOKUP(X218,Schichten!$A$5:$G$24,3,FALSE())))</f>
        <v/>
      </c>
      <c r="AB218" s="28" t="str">
        <f aca="false">IF(AA218="","",$A218+VLOOKUP(X218,Schichten!$A$5:$G$24,4,FALSE())+IF(VLOOKUP(X218,Schichten!$A$5:$G$24,4,FALSE())&lt;=VLOOKUP(X218,Schichten!$A$5:$G$24,3,FALSE()),1,0))</f>
        <v/>
      </c>
      <c r="AC218" s="28" t="n">
        <f aca="false">IF($A218="","",IF(N(Y217)&gt;0,AB217,AC217))</f>
        <v>46601.25</v>
      </c>
      <c r="AD218" s="27" t="str">
        <f aca="false">IF(OR(AA218="",AC218=""),"",(AA218-AC218)*24)</f>
        <v/>
      </c>
      <c r="AE218" s="21" t="n">
        <f aca="false">IF($A218="","",IF(N(Y218)&gt;0,N(AE217)+1,0))</f>
        <v>0</v>
      </c>
      <c r="AF218" s="21" t="n">
        <f aca="false">IF($A218="","",IF(N(Z218)&gt;0,N(AF217)+1,0))</f>
        <v>0</v>
      </c>
      <c r="AG218" s="21" t="str">
        <f aca="false">IF($A218="","",IF(WEEKDAY($A218,2)&lt;&gt;7,"",IF(AND(OR(AA218="",N(AA218)&gt;=$A218+16/24,N(AB218)&lt;=$A218+6/24),OR(AC218="",N(AC218)&lt;=$A218+6/24)),1,0)))</f>
        <v/>
      </c>
      <c r="AH218" s="26" t="str">
        <f aca="false">IF($A218="","",IF(INDEX(Muster!$C$9:$BF$9,1,MOD($A218-Einstellungen!$C$6,Einstellungen!$C$7)+1)="","-",INDEX(Muster!$C$9:$BF$9,1,MOD($A218-Einstellungen!$C$6,Einstellungen!$C$7)+1)))</f>
        <v>N</v>
      </c>
      <c r="AI218" s="27" t="n">
        <f aca="false">IF($A218="","",IFERROR(VLOOKUP(AH218,Schichten!$A$5:$G$24,6,FALSE()),0))</f>
        <v>8</v>
      </c>
      <c r="AJ218" s="27" t="n">
        <f aca="false">IF($A218="","",IFERROR(VLOOKUP(AH218,Schichten!$A$5:$G$24,7,FALSE()),0))</f>
        <v>7</v>
      </c>
      <c r="AK218" s="28" t="n">
        <f aca="false">IF($A218="","",IF(N(AI218)=0,"",$A218+VLOOKUP(AH218,Schichten!$A$5:$G$24,3,FALSE())))</f>
        <v>46601.9166666667</v>
      </c>
      <c r="AL218" s="28" t="n">
        <f aca="false">IF(AK218="","",$A218+VLOOKUP(AH218,Schichten!$A$5:$G$24,4,FALSE())+IF(VLOOKUP(AH218,Schichten!$A$5:$G$24,4,FALSE())&lt;=VLOOKUP(AH218,Schichten!$A$5:$G$24,3,FALSE()),1,0))</f>
        <v>46602.25</v>
      </c>
      <c r="AM218" s="28" t="n">
        <f aca="false">IF($A218="","",IF(N(AI217)&gt;0,AL217,AM217))</f>
        <v>46600.9166666667</v>
      </c>
      <c r="AN218" s="27" t="n">
        <f aca="false">IF(OR(AK218="",AM218=""),"",(AK218-AM218)*24)</f>
        <v>24</v>
      </c>
      <c r="AO218" s="21" t="n">
        <f aca="false">IF($A218="","",IF(N(AI218)&gt;0,N(AO217)+1,0))</f>
        <v>5</v>
      </c>
      <c r="AP218" s="21" t="n">
        <f aca="false">IF($A218="","",IF(N(AJ218)&gt;0,N(AP217)+1,0))</f>
        <v>1</v>
      </c>
      <c r="AQ218" s="21" t="str">
        <f aca="false">IF($A218="","",IF(WEEKDAY($A218,2)&lt;&gt;7,"",IF(AND(OR(AK218="",N(AK218)&gt;=$A218+16/24,N(AL218)&lt;=$A218+6/24),OR(AM218="",N(AM218)&lt;=$A218+6/24)),1,0)))</f>
        <v/>
      </c>
      <c r="AR218" s="26" t="str">
        <f aca="false">IF($A218="","",IF(INDEX(Muster!$C$10:$BF$10,1,MOD($A218-Einstellungen!$C$6,Einstellungen!$C$7)+1)="","-",INDEX(Muster!$C$10:$BF$10,1,MOD($A218-Einstellungen!$C$6,Einstellungen!$C$7)+1)))</f>
        <v>-</v>
      </c>
      <c r="AS218" s="27" t="n">
        <f aca="false">IF($A218="","",IFERROR(VLOOKUP(AR218,Schichten!$A$5:$G$24,6,FALSE()),0))</f>
        <v>0</v>
      </c>
      <c r="AT218" s="27" t="n">
        <f aca="false">IF($A218="","",IFERROR(VLOOKUP(AR218,Schichten!$A$5:$G$24,7,FALSE()),0))</f>
        <v>0</v>
      </c>
      <c r="AU218" s="28" t="str">
        <f aca="false">IF($A218="","",IF(N(AS218)=0,"",$A218+VLOOKUP(AR218,Schichten!$A$5:$G$24,3,FALSE())))</f>
        <v/>
      </c>
      <c r="AV218" s="28" t="str">
        <f aca="false">IF(AU218="","",$A218+VLOOKUP(AR218,Schichten!$A$5:$G$24,4,FALSE())+IF(VLOOKUP(AR218,Schichten!$A$5:$G$24,4,FALSE())&lt;=VLOOKUP(AR218,Schichten!$A$5:$G$24,3,FALSE()),1,0))</f>
        <v/>
      </c>
      <c r="AW218" s="28" t="str">
        <f aca="false">IF($A218="","",IF(N(AS217)&gt;0,AV217,AW217))</f>
        <v/>
      </c>
      <c r="AX218" s="27" t="str">
        <f aca="false">IF(OR(AU218="",AW218=""),"",(AU218-AW218)*24)</f>
        <v/>
      </c>
      <c r="AY218" s="21" t="n">
        <f aca="false">IF($A218="","",IF(N(AS218)&gt;0,N(AY217)+1,0))</f>
        <v>0</v>
      </c>
      <c r="AZ218" s="21" t="n">
        <f aca="false">IF($A218="","",IF(N(AT218)&gt;0,N(AZ217)+1,0))</f>
        <v>0</v>
      </c>
      <c r="BA218" s="21" t="str">
        <f aca="false">IF($A218="","",IF(WEEKDAY($A218,2)&lt;&gt;7,"",IF(AND(OR(AU218="",N(AU218)&gt;=$A218+16/24,N(AV218)&lt;=$A218+6/24),OR(AW218="",N(AW218)&lt;=$A218+6/24)),1,0)))</f>
        <v/>
      </c>
    </row>
    <row r="219" customFormat="false" ht="15" hidden="false" customHeight="false" outlineLevel="0" collapsed="false">
      <c r="A219" s="25" t="n">
        <f aca="false">IF(YEAR(DATE(Einstellungen!$C$4,1,1)+214)=Einstellungen!$C$4,DATE(Einstellungen!$C$4,1,1)+214,"")</f>
        <v>46602</v>
      </c>
      <c r="B219" s="26" t="str">
        <f aca="false">IF($A219="","",CHOOSE(WEEKDAY($A219,2),"Mo","Di","Mi","Do","Fr","Sa","So"))</f>
        <v>Di</v>
      </c>
      <c r="C219" s="26" t="n">
        <f aca="false">IF($A219="","",MONTH($A219))</f>
        <v>8</v>
      </c>
      <c r="D219" s="26" t="str">
        <f aca="false">IF($A219="","",IF(INDEX(Muster!$C$6:$BF$6,1,MOD($A219-Einstellungen!$C$6,Einstellungen!$C$7)+1)="","-",INDEX(Muster!$C$6:$BF$6,1,MOD($A219-Einstellungen!$C$6,Einstellungen!$C$7)+1)))</f>
        <v>S</v>
      </c>
      <c r="E219" s="27" t="n">
        <f aca="false">IF($A219="","",IFERROR(VLOOKUP(D219,Schichten!$A$5:$G$24,6,FALSE()),0))</f>
        <v>8</v>
      </c>
      <c r="F219" s="27" t="n">
        <f aca="false">IF($A219="","",IFERROR(VLOOKUP(D219,Schichten!$A$5:$G$24,7,FALSE()),0))</f>
        <v>0</v>
      </c>
      <c r="G219" s="28" t="n">
        <f aca="false">IF($A219="","",IF(N(E219)=0,"",$A219+VLOOKUP(D219,Schichten!$A$5:$G$24,3,FALSE())))</f>
        <v>46602.5833333333</v>
      </c>
      <c r="H219" s="28" t="n">
        <f aca="false">IF(G219="","",$A219+VLOOKUP(D219,Schichten!$A$5:$G$24,4,FALSE())+IF(VLOOKUP(D219,Schichten!$A$5:$G$24,4,FALSE())&lt;=VLOOKUP(D219,Schichten!$A$5:$G$24,3,FALSE()),1,0))</f>
        <v>46602.9166666667</v>
      </c>
      <c r="I219" s="28" t="n">
        <f aca="false">IF($A219="","",IF(N(E218)&gt;0,H218,I218))</f>
        <v>46601.9166666667</v>
      </c>
      <c r="J219" s="27" t="n">
        <f aca="false">IF(OR(G219="",I219=""),"",(G219-I219)*24)</f>
        <v>16</v>
      </c>
      <c r="K219" s="21" t="n">
        <f aca="false">IF($A219="","",IF(N(E219)&gt;0,N(K218)+1,0))</f>
        <v>4</v>
      </c>
      <c r="L219" s="21" t="n">
        <f aca="false">IF($A219="","",IF(N(F219)&gt;0,N(L218)+1,0))</f>
        <v>0</v>
      </c>
      <c r="M219" s="21" t="str">
        <f aca="false">IF($A219="","",IF(WEEKDAY($A219,2)&lt;&gt;7,"",IF(AND(OR(G219="",N(G219)&gt;=$A219+16/24,N(H219)&lt;=$A219+6/24),OR(I219="",N(I219)&lt;=$A219+6/24)),1,0)))</f>
        <v/>
      </c>
      <c r="N219" s="26" t="str">
        <f aca="false">IF($A219="","",IF(INDEX(Muster!$C$7:$BF$7,1,MOD($A219-Einstellungen!$C$6,Einstellungen!$C$7)+1)="","-",INDEX(Muster!$C$7:$BF$7,1,MOD($A219-Einstellungen!$C$6,Einstellungen!$C$7)+1)))</f>
        <v>F</v>
      </c>
      <c r="O219" s="27" t="n">
        <f aca="false">IF($A219="","",IFERROR(VLOOKUP(N219,Schichten!$A$5:$G$24,6,FALSE()),0))</f>
        <v>8</v>
      </c>
      <c r="P219" s="27" t="n">
        <f aca="false">IF($A219="","",IFERROR(VLOOKUP(N219,Schichten!$A$5:$G$24,7,FALSE()),0))</f>
        <v>0</v>
      </c>
      <c r="Q219" s="28" t="n">
        <f aca="false">IF($A219="","",IF(N(O219)=0,"",$A219+VLOOKUP(N219,Schichten!$A$5:$G$24,3,FALSE())))</f>
        <v>46602.25</v>
      </c>
      <c r="R219" s="28" t="n">
        <f aca="false">IF(Q219="","",$A219+VLOOKUP(N219,Schichten!$A$5:$G$24,4,FALSE())+IF(VLOOKUP(N219,Schichten!$A$5:$G$24,4,FALSE())&lt;=VLOOKUP(N219,Schichten!$A$5:$G$24,3,FALSE()),1,0))</f>
        <v>46602.5833333333</v>
      </c>
      <c r="S219" s="28" t="n">
        <f aca="false">IF($A219="","",IF(N(O218)&gt;0,R218,S218))</f>
        <v>46601.5833333333</v>
      </c>
      <c r="T219" s="27" t="n">
        <f aca="false">IF(OR(Q219="",S219=""),"",(Q219-S219)*24)</f>
        <v>16</v>
      </c>
      <c r="U219" s="21" t="n">
        <f aca="false">IF($A219="","",IF(N(O219)&gt;0,N(U218)+1,0))</f>
        <v>2</v>
      </c>
      <c r="V219" s="21" t="n">
        <f aca="false">IF($A219="","",IF(N(P219)&gt;0,N(V218)+1,0))</f>
        <v>0</v>
      </c>
      <c r="W219" s="21" t="str">
        <f aca="false">IF($A219="","",IF(WEEKDAY($A219,2)&lt;&gt;7,"",IF(AND(OR(Q219="",N(Q219)&gt;=$A219+16/24,N(R219)&lt;=$A219+6/24),OR(S219="",N(S219)&lt;=$A219+6/24)),1,0)))</f>
        <v/>
      </c>
      <c r="X219" s="26" t="str">
        <f aca="false">IF($A219="","",IF(INDEX(Muster!$C$8:$BF$8,1,MOD($A219-Einstellungen!$C$6,Einstellungen!$C$7)+1)="","-",INDEX(Muster!$C$8:$BF$8,1,MOD($A219-Einstellungen!$C$6,Einstellungen!$C$7)+1)))</f>
        <v>-</v>
      </c>
      <c r="Y219" s="27" t="n">
        <f aca="false">IF($A219="","",IFERROR(VLOOKUP(X219,Schichten!$A$5:$G$24,6,FALSE()),0))</f>
        <v>0</v>
      </c>
      <c r="Z219" s="27" t="n">
        <f aca="false">IF($A219="","",IFERROR(VLOOKUP(X219,Schichten!$A$5:$G$24,7,FALSE()),0))</f>
        <v>0</v>
      </c>
      <c r="AA219" s="28" t="str">
        <f aca="false">IF($A219="","",IF(N(Y219)=0,"",$A219+VLOOKUP(X219,Schichten!$A$5:$G$24,3,FALSE())))</f>
        <v/>
      </c>
      <c r="AB219" s="28" t="str">
        <f aca="false">IF(AA219="","",$A219+VLOOKUP(X219,Schichten!$A$5:$G$24,4,FALSE())+IF(VLOOKUP(X219,Schichten!$A$5:$G$24,4,FALSE())&lt;=VLOOKUP(X219,Schichten!$A$5:$G$24,3,FALSE()),1,0))</f>
        <v/>
      </c>
      <c r="AC219" s="28" t="n">
        <f aca="false">IF($A219="","",IF(N(Y218)&gt;0,AB218,AC218))</f>
        <v>46601.25</v>
      </c>
      <c r="AD219" s="27" t="str">
        <f aca="false">IF(OR(AA219="",AC219=""),"",(AA219-AC219)*24)</f>
        <v/>
      </c>
      <c r="AE219" s="21" t="n">
        <f aca="false">IF($A219="","",IF(N(Y219)&gt;0,N(AE218)+1,0))</f>
        <v>0</v>
      </c>
      <c r="AF219" s="21" t="n">
        <f aca="false">IF($A219="","",IF(N(Z219)&gt;0,N(AF218)+1,0))</f>
        <v>0</v>
      </c>
      <c r="AG219" s="21" t="str">
        <f aca="false">IF($A219="","",IF(WEEKDAY($A219,2)&lt;&gt;7,"",IF(AND(OR(AA219="",N(AA219)&gt;=$A219+16/24,N(AB219)&lt;=$A219+6/24),OR(AC219="",N(AC219)&lt;=$A219+6/24)),1,0)))</f>
        <v/>
      </c>
      <c r="AH219" s="26" t="str">
        <f aca="false">IF($A219="","",IF(INDEX(Muster!$C$9:$BF$9,1,MOD($A219-Einstellungen!$C$6,Einstellungen!$C$7)+1)="","-",INDEX(Muster!$C$9:$BF$9,1,MOD($A219-Einstellungen!$C$6,Einstellungen!$C$7)+1)))</f>
        <v>N</v>
      </c>
      <c r="AI219" s="27" t="n">
        <f aca="false">IF($A219="","",IFERROR(VLOOKUP(AH219,Schichten!$A$5:$G$24,6,FALSE()),0))</f>
        <v>8</v>
      </c>
      <c r="AJ219" s="27" t="n">
        <f aca="false">IF($A219="","",IFERROR(VLOOKUP(AH219,Schichten!$A$5:$G$24,7,FALSE()),0))</f>
        <v>7</v>
      </c>
      <c r="AK219" s="28" t="n">
        <f aca="false">IF($A219="","",IF(N(AI219)=0,"",$A219+VLOOKUP(AH219,Schichten!$A$5:$G$24,3,FALSE())))</f>
        <v>46602.9166666667</v>
      </c>
      <c r="AL219" s="28" t="n">
        <f aca="false">IF(AK219="","",$A219+VLOOKUP(AH219,Schichten!$A$5:$G$24,4,FALSE())+IF(VLOOKUP(AH219,Schichten!$A$5:$G$24,4,FALSE())&lt;=VLOOKUP(AH219,Schichten!$A$5:$G$24,3,FALSE()),1,0))</f>
        <v>46603.25</v>
      </c>
      <c r="AM219" s="28" t="n">
        <f aca="false">IF($A219="","",IF(N(AI218)&gt;0,AL218,AM218))</f>
        <v>46602.25</v>
      </c>
      <c r="AN219" s="27" t="n">
        <f aca="false">IF(OR(AK219="",AM219=""),"",(AK219-AM219)*24)</f>
        <v>16</v>
      </c>
      <c r="AO219" s="21" t="n">
        <f aca="false">IF($A219="","",IF(N(AI219)&gt;0,N(AO218)+1,0))</f>
        <v>6</v>
      </c>
      <c r="AP219" s="21" t="n">
        <f aca="false">IF($A219="","",IF(N(AJ219)&gt;0,N(AP218)+1,0))</f>
        <v>2</v>
      </c>
      <c r="AQ219" s="21" t="str">
        <f aca="false">IF($A219="","",IF(WEEKDAY($A219,2)&lt;&gt;7,"",IF(AND(OR(AK219="",N(AK219)&gt;=$A219+16/24,N(AL219)&lt;=$A219+6/24),OR(AM219="",N(AM219)&lt;=$A219+6/24)),1,0)))</f>
        <v/>
      </c>
      <c r="AR219" s="26" t="str">
        <f aca="false">IF($A219="","",IF(INDEX(Muster!$C$10:$BF$10,1,MOD($A219-Einstellungen!$C$6,Einstellungen!$C$7)+1)="","-",INDEX(Muster!$C$10:$BF$10,1,MOD($A219-Einstellungen!$C$6,Einstellungen!$C$7)+1)))</f>
        <v>-</v>
      </c>
      <c r="AS219" s="27" t="n">
        <f aca="false">IF($A219="","",IFERROR(VLOOKUP(AR219,Schichten!$A$5:$G$24,6,FALSE()),0))</f>
        <v>0</v>
      </c>
      <c r="AT219" s="27" t="n">
        <f aca="false">IF($A219="","",IFERROR(VLOOKUP(AR219,Schichten!$A$5:$G$24,7,FALSE()),0))</f>
        <v>0</v>
      </c>
      <c r="AU219" s="28" t="str">
        <f aca="false">IF($A219="","",IF(N(AS219)=0,"",$A219+VLOOKUP(AR219,Schichten!$A$5:$G$24,3,FALSE())))</f>
        <v/>
      </c>
      <c r="AV219" s="28" t="str">
        <f aca="false">IF(AU219="","",$A219+VLOOKUP(AR219,Schichten!$A$5:$G$24,4,FALSE())+IF(VLOOKUP(AR219,Schichten!$A$5:$G$24,4,FALSE())&lt;=VLOOKUP(AR219,Schichten!$A$5:$G$24,3,FALSE()),1,0))</f>
        <v/>
      </c>
      <c r="AW219" s="28" t="str">
        <f aca="false">IF($A219="","",IF(N(AS218)&gt;0,AV218,AW218))</f>
        <v/>
      </c>
      <c r="AX219" s="27" t="str">
        <f aca="false">IF(OR(AU219="",AW219=""),"",(AU219-AW219)*24)</f>
        <v/>
      </c>
      <c r="AY219" s="21" t="n">
        <f aca="false">IF($A219="","",IF(N(AS219)&gt;0,N(AY218)+1,0))</f>
        <v>0</v>
      </c>
      <c r="AZ219" s="21" t="n">
        <f aca="false">IF($A219="","",IF(N(AT219)&gt;0,N(AZ218)+1,0))</f>
        <v>0</v>
      </c>
      <c r="BA219" s="21" t="str">
        <f aca="false">IF($A219="","",IF(WEEKDAY($A219,2)&lt;&gt;7,"",IF(AND(OR(AU219="",N(AU219)&gt;=$A219+16/24,N(AV219)&lt;=$A219+6/24),OR(AW219="",N(AW219)&lt;=$A219+6/24)),1,0)))</f>
        <v/>
      </c>
    </row>
    <row r="220" customFormat="false" ht="15" hidden="false" customHeight="false" outlineLevel="0" collapsed="false">
      <c r="A220" s="25" t="n">
        <f aca="false">IF(YEAR(DATE(Einstellungen!$C$4,1,1)+215)=Einstellungen!$C$4,DATE(Einstellungen!$C$4,1,1)+215,"")</f>
        <v>46603</v>
      </c>
      <c r="B220" s="26" t="str">
        <f aca="false">IF($A220="","",CHOOSE(WEEKDAY($A220,2),"Mo","Di","Mi","Do","Fr","Sa","So"))</f>
        <v>Mi</v>
      </c>
      <c r="C220" s="26" t="n">
        <f aca="false">IF($A220="","",MONTH($A220))</f>
        <v>8</v>
      </c>
      <c r="D220" s="26" t="str">
        <f aca="false">IF($A220="","",IF(INDEX(Muster!$C$6:$BF$6,1,MOD($A220-Einstellungen!$C$6,Einstellungen!$C$7)+1)="","-",INDEX(Muster!$C$6:$BF$6,1,MOD($A220-Einstellungen!$C$6,Einstellungen!$C$7)+1)))</f>
        <v>N</v>
      </c>
      <c r="E220" s="27" t="n">
        <f aca="false">IF($A220="","",IFERROR(VLOOKUP(D220,Schichten!$A$5:$G$24,6,FALSE()),0))</f>
        <v>8</v>
      </c>
      <c r="F220" s="27" t="n">
        <f aca="false">IF($A220="","",IFERROR(VLOOKUP(D220,Schichten!$A$5:$G$24,7,FALSE()),0))</f>
        <v>7</v>
      </c>
      <c r="G220" s="28" t="n">
        <f aca="false">IF($A220="","",IF(N(E220)=0,"",$A220+VLOOKUP(D220,Schichten!$A$5:$G$24,3,FALSE())))</f>
        <v>46603.9166666667</v>
      </c>
      <c r="H220" s="28" t="n">
        <f aca="false">IF(G220="","",$A220+VLOOKUP(D220,Schichten!$A$5:$G$24,4,FALSE())+IF(VLOOKUP(D220,Schichten!$A$5:$G$24,4,FALSE())&lt;=VLOOKUP(D220,Schichten!$A$5:$G$24,3,FALSE()),1,0))</f>
        <v>46604.25</v>
      </c>
      <c r="I220" s="28" t="n">
        <f aca="false">IF($A220="","",IF(N(E219)&gt;0,H219,I219))</f>
        <v>46602.9166666667</v>
      </c>
      <c r="J220" s="27" t="n">
        <f aca="false">IF(OR(G220="",I220=""),"",(G220-I220)*24)</f>
        <v>24</v>
      </c>
      <c r="K220" s="21" t="n">
        <f aca="false">IF($A220="","",IF(N(E220)&gt;0,N(K219)+1,0))</f>
        <v>5</v>
      </c>
      <c r="L220" s="21" t="n">
        <f aca="false">IF($A220="","",IF(N(F220)&gt;0,N(L219)+1,0))</f>
        <v>1</v>
      </c>
      <c r="M220" s="21" t="str">
        <f aca="false">IF($A220="","",IF(WEEKDAY($A220,2)&lt;&gt;7,"",IF(AND(OR(G220="",N(G220)&gt;=$A220+16/24,N(H220)&lt;=$A220+6/24),OR(I220="",N(I220)&lt;=$A220+6/24)),1,0)))</f>
        <v/>
      </c>
      <c r="N220" s="26" t="str">
        <f aca="false">IF($A220="","",IF(INDEX(Muster!$C$7:$BF$7,1,MOD($A220-Einstellungen!$C$6,Einstellungen!$C$7)+1)="","-",INDEX(Muster!$C$7:$BF$7,1,MOD($A220-Einstellungen!$C$6,Einstellungen!$C$7)+1)))</f>
        <v>S</v>
      </c>
      <c r="O220" s="27" t="n">
        <f aca="false">IF($A220="","",IFERROR(VLOOKUP(N220,Schichten!$A$5:$G$24,6,FALSE()),0))</f>
        <v>8</v>
      </c>
      <c r="P220" s="27" t="n">
        <f aca="false">IF($A220="","",IFERROR(VLOOKUP(N220,Schichten!$A$5:$G$24,7,FALSE()),0))</f>
        <v>0</v>
      </c>
      <c r="Q220" s="28" t="n">
        <f aca="false">IF($A220="","",IF(N(O220)=0,"",$A220+VLOOKUP(N220,Schichten!$A$5:$G$24,3,FALSE())))</f>
        <v>46603.5833333333</v>
      </c>
      <c r="R220" s="28" t="n">
        <f aca="false">IF(Q220="","",$A220+VLOOKUP(N220,Schichten!$A$5:$G$24,4,FALSE())+IF(VLOOKUP(N220,Schichten!$A$5:$G$24,4,FALSE())&lt;=VLOOKUP(N220,Schichten!$A$5:$G$24,3,FALSE()),1,0))</f>
        <v>46603.9166666667</v>
      </c>
      <c r="S220" s="28" t="n">
        <f aca="false">IF($A220="","",IF(N(O219)&gt;0,R219,S219))</f>
        <v>46602.5833333333</v>
      </c>
      <c r="T220" s="27" t="n">
        <f aca="false">IF(OR(Q220="",S220=""),"",(Q220-S220)*24)</f>
        <v>24</v>
      </c>
      <c r="U220" s="21" t="n">
        <f aca="false">IF($A220="","",IF(N(O220)&gt;0,N(U219)+1,0))</f>
        <v>3</v>
      </c>
      <c r="V220" s="21" t="n">
        <f aca="false">IF($A220="","",IF(N(P220)&gt;0,N(V219)+1,0))</f>
        <v>0</v>
      </c>
      <c r="W220" s="21" t="str">
        <f aca="false">IF($A220="","",IF(WEEKDAY($A220,2)&lt;&gt;7,"",IF(AND(OR(Q220="",N(Q220)&gt;=$A220+16/24,N(R220)&lt;=$A220+6/24),OR(S220="",N(S220)&lt;=$A220+6/24)),1,0)))</f>
        <v/>
      </c>
      <c r="X220" s="26" t="str">
        <f aca="false">IF($A220="","",IF(INDEX(Muster!$C$8:$BF$8,1,MOD($A220-Einstellungen!$C$6,Einstellungen!$C$7)+1)="","-",INDEX(Muster!$C$8:$BF$8,1,MOD($A220-Einstellungen!$C$6,Einstellungen!$C$7)+1)))</f>
        <v>F</v>
      </c>
      <c r="Y220" s="27" t="n">
        <f aca="false">IF($A220="","",IFERROR(VLOOKUP(X220,Schichten!$A$5:$G$24,6,FALSE()),0))</f>
        <v>8</v>
      </c>
      <c r="Z220" s="27" t="n">
        <f aca="false">IF($A220="","",IFERROR(VLOOKUP(X220,Schichten!$A$5:$G$24,7,FALSE()),0))</f>
        <v>0</v>
      </c>
      <c r="AA220" s="28" t="n">
        <f aca="false">IF($A220="","",IF(N(Y220)=0,"",$A220+VLOOKUP(X220,Schichten!$A$5:$G$24,3,FALSE())))</f>
        <v>46603.25</v>
      </c>
      <c r="AB220" s="28" t="n">
        <f aca="false">IF(AA220="","",$A220+VLOOKUP(X220,Schichten!$A$5:$G$24,4,FALSE())+IF(VLOOKUP(X220,Schichten!$A$5:$G$24,4,FALSE())&lt;=VLOOKUP(X220,Schichten!$A$5:$G$24,3,FALSE()),1,0))</f>
        <v>46603.5833333333</v>
      </c>
      <c r="AC220" s="28" t="n">
        <f aca="false">IF($A220="","",IF(N(Y219)&gt;0,AB219,AC219))</f>
        <v>46601.25</v>
      </c>
      <c r="AD220" s="27" t="n">
        <f aca="false">IF(OR(AA220="",AC220=""),"",(AA220-AC220)*24)</f>
        <v>48</v>
      </c>
      <c r="AE220" s="21" t="n">
        <f aca="false">IF($A220="","",IF(N(Y220)&gt;0,N(AE219)+1,0))</f>
        <v>1</v>
      </c>
      <c r="AF220" s="21" t="n">
        <f aca="false">IF($A220="","",IF(N(Z220)&gt;0,N(AF219)+1,0))</f>
        <v>0</v>
      </c>
      <c r="AG220" s="21" t="str">
        <f aca="false">IF($A220="","",IF(WEEKDAY($A220,2)&lt;&gt;7,"",IF(AND(OR(AA220="",N(AA220)&gt;=$A220+16/24,N(AB220)&lt;=$A220+6/24),OR(AC220="",N(AC220)&lt;=$A220+6/24)),1,0)))</f>
        <v/>
      </c>
      <c r="AH220" s="26" t="str">
        <f aca="false">IF($A220="","",IF(INDEX(Muster!$C$9:$BF$9,1,MOD($A220-Einstellungen!$C$6,Einstellungen!$C$7)+1)="","-",INDEX(Muster!$C$9:$BF$9,1,MOD($A220-Einstellungen!$C$6,Einstellungen!$C$7)+1)))</f>
        <v>-</v>
      </c>
      <c r="AI220" s="27" t="n">
        <f aca="false">IF($A220="","",IFERROR(VLOOKUP(AH220,Schichten!$A$5:$G$24,6,FALSE()),0))</f>
        <v>0</v>
      </c>
      <c r="AJ220" s="27" t="n">
        <f aca="false">IF($A220="","",IFERROR(VLOOKUP(AH220,Schichten!$A$5:$G$24,7,FALSE()),0))</f>
        <v>0</v>
      </c>
      <c r="AK220" s="28" t="str">
        <f aca="false">IF($A220="","",IF(N(AI220)=0,"",$A220+VLOOKUP(AH220,Schichten!$A$5:$G$24,3,FALSE())))</f>
        <v/>
      </c>
      <c r="AL220" s="28" t="str">
        <f aca="false">IF(AK220="","",$A220+VLOOKUP(AH220,Schichten!$A$5:$G$24,4,FALSE())+IF(VLOOKUP(AH220,Schichten!$A$5:$G$24,4,FALSE())&lt;=VLOOKUP(AH220,Schichten!$A$5:$G$24,3,FALSE()),1,0))</f>
        <v/>
      </c>
      <c r="AM220" s="28" t="n">
        <f aca="false">IF($A220="","",IF(N(AI219)&gt;0,AL219,AM219))</f>
        <v>46603.25</v>
      </c>
      <c r="AN220" s="27" t="str">
        <f aca="false">IF(OR(AK220="",AM220=""),"",(AK220-AM220)*24)</f>
        <v/>
      </c>
      <c r="AO220" s="21" t="n">
        <f aca="false">IF($A220="","",IF(N(AI220)&gt;0,N(AO219)+1,0))</f>
        <v>0</v>
      </c>
      <c r="AP220" s="21" t="n">
        <f aca="false">IF($A220="","",IF(N(AJ220)&gt;0,N(AP219)+1,0))</f>
        <v>0</v>
      </c>
      <c r="AQ220" s="21" t="str">
        <f aca="false">IF($A220="","",IF(WEEKDAY($A220,2)&lt;&gt;7,"",IF(AND(OR(AK220="",N(AK220)&gt;=$A220+16/24,N(AL220)&lt;=$A220+6/24),OR(AM220="",N(AM220)&lt;=$A220+6/24)),1,0)))</f>
        <v/>
      </c>
      <c r="AR220" s="26" t="str">
        <f aca="false">IF($A220="","",IF(INDEX(Muster!$C$10:$BF$10,1,MOD($A220-Einstellungen!$C$6,Einstellungen!$C$7)+1)="","-",INDEX(Muster!$C$10:$BF$10,1,MOD($A220-Einstellungen!$C$6,Einstellungen!$C$7)+1)))</f>
        <v>-</v>
      </c>
      <c r="AS220" s="27" t="n">
        <f aca="false">IF($A220="","",IFERROR(VLOOKUP(AR220,Schichten!$A$5:$G$24,6,FALSE()),0))</f>
        <v>0</v>
      </c>
      <c r="AT220" s="27" t="n">
        <f aca="false">IF($A220="","",IFERROR(VLOOKUP(AR220,Schichten!$A$5:$G$24,7,FALSE()),0))</f>
        <v>0</v>
      </c>
      <c r="AU220" s="28" t="str">
        <f aca="false">IF($A220="","",IF(N(AS220)=0,"",$A220+VLOOKUP(AR220,Schichten!$A$5:$G$24,3,FALSE())))</f>
        <v/>
      </c>
      <c r="AV220" s="28" t="str">
        <f aca="false">IF(AU220="","",$A220+VLOOKUP(AR220,Schichten!$A$5:$G$24,4,FALSE())+IF(VLOOKUP(AR220,Schichten!$A$5:$G$24,4,FALSE())&lt;=VLOOKUP(AR220,Schichten!$A$5:$G$24,3,FALSE()),1,0))</f>
        <v/>
      </c>
      <c r="AW220" s="28" t="str">
        <f aca="false">IF($A220="","",IF(N(AS219)&gt;0,AV219,AW219))</f>
        <v/>
      </c>
      <c r="AX220" s="27" t="str">
        <f aca="false">IF(OR(AU220="",AW220=""),"",(AU220-AW220)*24)</f>
        <v/>
      </c>
      <c r="AY220" s="21" t="n">
        <f aca="false">IF($A220="","",IF(N(AS220)&gt;0,N(AY219)+1,0))</f>
        <v>0</v>
      </c>
      <c r="AZ220" s="21" t="n">
        <f aca="false">IF($A220="","",IF(N(AT220)&gt;0,N(AZ219)+1,0))</f>
        <v>0</v>
      </c>
      <c r="BA220" s="21" t="str">
        <f aca="false">IF($A220="","",IF(WEEKDAY($A220,2)&lt;&gt;7,"",IF(AND(OR(AU220="",N(AU220)&gt;=$A220+16/24,N(AV220)&lt;=$A220+6/24),OR(AW220="",N(AW220)&lt;=$A220+6/24)),1,0)))</f>
        <v/>
      </c>
    </row>
    <row r="221" customFormat="false" ht="15" hidden="false" customHeight="false" outlineLevel="0" collapsed="false">
      <c r="A221" s="25" t="n">
        <f aca="false">IF(YEAR(DATE(Einstellungen!$C$4,1,1)+216)=Einstellungen!$C$4,DATE(Einstellungen!$C$4,1,1)+216,"")</f>
        <v>46604</v>
      </c>
      <c r="B221" s="26" t="str">
        <f aca="false">IF($A221="","",CHOOSE(WEEKDAY($A221,2),"Mo","Di","Mi","Do","Fr","Sa","So"))</f>
        <v>Do</v>
      </c>
      <c r="C221" s="26" t="n">
        <f aca="false">IF($A221="","",MONTH($A221))</f>
        <v>8</v>
      </c>
      <c r="D221" s="26" t="str">
        <f aca="false">IF($A221="","",IF(INDEX(Muster!$C$6:$BF$6,1,MOD($A221-Einstellungen!$C$6,Einstellungen!$C$7)+1)="","-",INDEX(Muster!$C$6:$BF$6,1,MOD($A221-Einstellungen!$C$6,Einstellungen!$C$7)+1)))</f>
        <v>N</v>
      </c>
      <c r="E221" s="27" t="n">
        <f aca="false">IF($A221="","",IFERROR(VLOOKUP(D221,Schichten!$A$5:$G$24,6,FALSE()),0))</f>
        <v>8</v>
      </c>
      <c r="F221" s="27" t="n">
        <f aca="false">IF($A221="","",IFERROR(VLOOKUP(D221,Schichten!$A$5:$G$24,7,FALSE()),0))</f>
        <v>7</v>
      </c>
      <c r="G221" s="28" t="n">
        <f aca="false">IF($A221="","",IF(N(E221)=0,"",$A221+VLOOKUP(D221,Schichten!$A$5:$G$24,3,FALSE())))</f>
        <v>46604.9166666667</v>
      </c>
      <c r="H221" s="28" t="n">
        <f aca="false">IF(G221="","",$A221+VLOOKUP(D221,Schichten!$A$5:$G$24,4,FALSE())+IF(VLOOKUP(D221,Schichten!$A$5:$G$24,4,FALSE())&lt;=VLOOKUP(D221,Schichten!$A$5:$G$24,3,FALSE()),1,0))</f>
        <v>46605.25</v>
      </c>
      <c r="I221" s="28" t="n">
        <f aca="false">IF($A221="","",IF(N(E220)&gt;0,H220,I220))</f>
        <v>46604.25</v>
      </c>
      <c r="J221" s="27" t="n">
        <f aca="false">IF(OR(G221="",I221=""),"",(G221-I221)*24)</f>
        <v>16</v>
      </c>
      <c r="K221" s="21" t="n">
        <f aca="false">IF($A221="","",IF(N(E221)&gt;0,N(K220)+1,0))</f>
        <v>6</v>
      </c>
      <c r="L221" s="21" t="n">
        <f aca="false">IF($A221="","",IF(N(F221)&gt;0,N(L220)+1,0))</f>
        <v>2</v>
      </c>
      <c r="M221" s="21" t="str">
        <f aca="false">IF($A221="","",IF(WEEKDAY($A221,2)&lt;&gt;7,"",IF(AND(OR(G221="",N(G221)&gt;=$A221+16/24,N(H221)&lt;=$A221+6/24),OR(I221="",N(I221)&lt;=$A221+6/24)),1,0)))</f>
        <v/>
      </c>
      <c r="N221" s="26" t="str">
        <f aca="false">IF($A221="","",IF(INDEX(Muster!$C$7:$BF$7,1,MOD($A221-Einstellungen!$C$6,Einstellungen!$C$7)+1)="","-",INDEX(Muster!$C$7:$BF$7,1,MOD($A221-Einstellungen!$C$6,Einstellungen!$C$7)+1)))</f>
        <v>S</v>
      </c>
      <c r="O221" s="27" t="n">
        <f aca="false">IF($A221="","",IFERROR(VLOOKUP(N221,Schichten!$A$5:$G$24,6,FALSE()),0))</f>
        <v>8</v>
      </c>
      <c r="P221" s="27" t="n">
        <f aca="false">IF($A221="","",IFERROR(VLOOKUP(N221,Schichten!$A$5:$G$24,7,FALSE()),0))</f>
        <v>0</v>
      </c>
      <c r="Q221" s="28" t="n">
        <f aca="false">IF($A221="","",IF(N(O221)=0,"",$A221+VLOOKUP(N221,Schichten!$A$5:$G$24,3,FALSE())))</f>
        <v>46604.5833333333</v>
      </c>
      <c r="R221" s="28" t="n">
        <f aca="false">IF(Q221="","",$A221+VLOOKUP(N221,Schichten!$A$5:$G$24,4,FALSE())+IF(VLOOKUP(N221,Schichten!$A$5:$G$24,4,FALSE())&lt;=VLOOKUP(N221,Schichten!$A$5:$G$24,3,FALSE()),1,0))</f>
        <v>46604.9166666667</v>
      </c>
      <c r="S221" s="28" t="n">
        <f aca="false">IF($A221="","",IF(N(O220)&gt;0,R220,S220))</f>
        <v>46603.9166666667</v>
      </c>
      <c r="T221" s="27" t="n">
        <f aca="false">IF(OR(Q221="",S221=""),"",(Q221-S221)*24)</f>
        <v>16</v>
      </c>
      <c r="U221" s="21" t="n">
        <f aca="false">IF($A221="","",IF(N(O221)&gt;0,N(U220)+1,0))</f>
        <v>4</v>
      </c>
      <c r="V221" s="21" t="n">
        <f aca="false">IF($A221="","",IF(N(P221)&gt;0,N(V220)+1,0))</f>
        <v>0</v>
      </c>
      <c r="W221" s="21" t="str">
        <f aca="false">IF($A221="","",IF(WEEKDAY($A221,2)&lt;&gt;7,"",IF(AND(OR(Q221="",N(Q221)&gt;=$A221+16/24,N(R221)&lt;=$A221+6/24),OR(S221="",N(S221)&lt;=$A221+6/24)),1,0)))</f>
        <v/>
      </c>
      <c r="X221" s="26" t="str">
        <f aca="false">IF($A221="","",IF(INDEX(Muster!$C$8:$BF$8,1,MOD($A221-Einstellungen!$C$6,Einstellungen!$C$7)+1)="","-",INDEX(Muster!$C$8:$BF$8,1,MOD($A221-Einstellungen!$C$6,Einstellungen!$C$7)+1)))</f>
        <v>F</v>
      </c>
      <c r="Y221" s="27" t="n">
        <f aca="false">IF($A221="","",IFERROR(VLOOKUP(X221,Schichten!$A$5:$G$24,6,FALSE()),0))</f>
        <v>8</v>
      </c>
      <c r="Z221" s="27" t="n">
        <f aca="false">IF($A221="","",IFERROR(VLOOKUP(X221,Schichten!$A$5:$G$24,7,FALSE()),0))</f>
        <v>0</v>
      </c>
      <c r="AA221" s="28" t="n">
        <f aca="false">IF($A221="","",IF(N(Y221)=0,"",$A221+VLOOKUP(X221,Schichten!$A$5:$G$24,3,FALSE())))</f>
        <v>46604.25</v>
      </c>
      <c r="AB221" s="28" t="n">
        <f aca="false">IF(AA221="","",$A221+VLOOKUP(X221,Schichten!$A$5:$G$24,4,FALSE())+IF(VLOOKUP(X221,Schichten!$A$5:$G$24,4,FALSE())&lt;=VLOOKUP(X221,Schichten!$A$5:$G$24,3,FALSE()),1,0))</f>
        <v>46604.5833333333</v>
      </c>
      <c r="AC221" s="28" t="n">
        <f aca="false">IF($A221="","",IF(N(Y220)&gt;0,AB220,AC220))</f>
        <v>46603.5833333333</v>
      </c>
      <c r="AD221" s="27" t="n">
        <f aca="false">IF(OR(AA221="",AC221=""),"",(AA221-AC221)*24)</f>
        <v>16</v>
      </c>
      <c r="AE221" s="21" t="n">
        <f aca="false">IF($A221="","",IF(N(Y221)&gt;0,N(AE220)+1,0))</f>
        <v>2</v>
      </c>
      <c r="AF221" s="21" t="n">
        <f aca="false">IF($A221="","",IF(N(Z221)&gt;0,N(AF220)+1,0))</f>
        <v>0</v>
      </c>
      <c r="AG221" s="21" t="str">
        <f aca="false">IF($A221="","",IF(WEEKDAY($A221,2)&lt;&gt;7,"",IF(AND(OR(AA221="",N(AA221)&gt;=$A221+16/24,N(AB221)&lt;=$A221+6/24),OR(AC221="",N(AC221)&lt;=$A221+6/24)),1,0)))</f>
        <v/>
      </c>
      <c r="AH221" s="26" t="str">
        <f aca="false">IF($A221="","",IF(INDEX(Muster!$C$9:$BF$9,1,MOD($A221-Einstellungen!$C$6,Einstellungen!$C$7)+1)="","-",INDEX(Muster!$C$9:$BF$9,1,MOD($A221-Einstellungen!$C$6,Einstellungen!$C$7)+1)))</f>
        <v>-</v>
      </c>
      <c r="AI221" s="27" t="n">
        <f aca="false">IF($A221="","",IFERROR(VLOOKUP(AH221,Schichten!$A$5:$G$24,6,FALSE()),0))</f>
        <v>0</v>
      </c>
      <c r="AJ221" s="27" t="n">
        <f aca="false">IF($A221="","",IFERROR(VLOOKUP(AH221,Schichten!$A$5:$G$24,7,FALSE()),0))</f>
        <v>0</v>
      </c>
      <c r="AK221" s="28" t="str">
        <f aca="false">IF($A221="","",IF(N(AI221)=0,"",$A221+VLOOKUP(AH221,Schichten!$A$5:$G$24,3,FALSE())))</f>
        <v/>
      </c>
      <c r="AL221" s="28" t="str">
        <f aca="false">IF(AK221="","",$A221+VLOOKUP(AH221,Schichten!$A$5:$G$24,4,FALSE())+IF(VLOOKUP(AH221,Schichten!$A$5:$G$24,4,FALSE())&lt;=VLOOKUP(AH221,Schichten!$A$5:$G$24,3,FALSE()),1,0))</f>
        <v/>
      </c>
      <c r="AM221" s="28" t="n">
        <f aca="false">IF($A221="","",IF(N(AI220)&gt;0,AL220,AM220))</f>
        <v>46603.25</v>
      </c>
      <c r="AN221" s="27" t="str">
        <f aca="false">IF(OR(AK221="",AM221=""),"",(AK221-AM221)*24)</f>
        <v/>
      </c>
      <c r="AO221" s="21" t="n">
        <f aca="false">IF($A221="","",IF(N(AI221)&gt;0,N(AO220)+1,0))</f>
        <v>0</v>
      </c>
      <c r="AP221" s="21" t="n">
        <f aca="false">IF($A221="","",IF(N(AJ221)&gt;0,N(AP220)+1,0))</f>
        <v>0</v>
      </c>
      <c r="AQ221" s="21" t="str">
        <f aca="false">IF($A221="","",IF(WEEKDAY($A221,2)&lt;&gt;7,"",IF(AND(OR(AK221="",N(AK221)&gt;=$A221+16/24,N(AL221)&lt;=$A221+6/24),OR(AM221="",N(AM221)&lt;=$A221+6/24)),1,0)))</f>
        <v/>
      </c>
      <c r="AR221" s="26" t="str">
        <f aca="false">IF($A221="","",IF(INDEX(Muster!$C$10:$BF$10,1,MOD($A221-Einstellungen!$C$6,Einstellungen!$C$7)+1)="","-",INDEX(Muster!$C$10:$BF$10,1,MOD($A221-Einstellungen!$C$6,Einstellungen!$C$7)+1)))</f>
        <v>-</v>
      </c>
      <c r="AS221" s="27" t="n">
        <f aca="false">IF($A221="","",IFERROR(VLOOKUP(AR221,Schichten!$A$5:$G$24,6,FALSE()),0))</f>
        <v>0</v>
      </c>
      <c r="AT221" s="27" t="n">
        <f aca="false">IF($A221="","",IFERROR(VLOOKUP(AR221,Schichten!$A$5:$G$24,7,FALSE()),0))</f>
        <v>0</v>
      </c>
      <c r="AU221" s="28" t="str">
        <f aca="false">IF($A221="","",IF(N(AS221)=0,"",$A221+VLOOKUP(AR221,Schichten!$A$5:$G$24,3,FALSE())))</f>
        <v/>
      </c>
      <c r="AV221" s="28" t="str">
        <f aca="false">IF(AU221="","",$A221+VLOOKUP(AR221,Schichten!$A$5:$G$24,4,FALSE())+IF(VLOOKUP(AR221,Schichten!$A$5:$G$24,4,FALSE())&lt;=VLOOKUP(AR221,Schichten!$A$5:$G$24,3,FALSE()),1,0))</f>
        <v/>
      </c>
      <c r="AW221" s="28" t="str">
        <f aca="false">IF($A221="","",IF(N(AS220)&gt;0,AV220,AW220))</f>
        <v/>
      </c>
      <c r="AX221" s="27" t="str">
        <f aca="false">IF(OR(AU221="",AW221=""),"",(AU221-AW221)*24)</f>
        <v/>
      </c>
      <c r="AY221" s="21" t="n">
        <f aca="false">IF($A221="","",IF(N(AS221)&gt;0,N(AY220)+1,0))</f>
        <v>0</v>
      </c>
      <c r="AZ221" s="21" t="n">
        <f aca="false">IF($A221="","",IF(N(AT221)&gt;0,N(AZ220)+1,0))</f>
        <v>0</v>
      </c>
      <c r="BA221" s="21" t="str">
        <f aca="false">IF($A221="","",IF(WEEKDAY($A221,2)&lt;&gt;7,"",IF(AND(OR(AU221="",N(AU221)&gt;=$A221+16/24,N(AV221)&lt;=$A221+6/24),OR(AW221="",N(AW221)&lt;=$A221+6/24)),1,0)))</f>
        <v/>
      </c>
    </row>
    <row r="222" customFormat="false" ht="15" hidden="false" customHeight="false" outlineLevel="0" collapsed="false">
      <c r="A222" s="25" t="n">
        <f aca="false">IF(YEAR(DATE(Einstellungen!$C$4,1,1)+217)=Einstellungen!$C$4,DATE(Einstellungen!$C$4,1,1)+217,"")</f>
        <v>46605</v>
      </c>
      <c r="B222" s="26" t="str">
        <f aca="false">IF($A222="","",CHOOSE(WEEKDAY($A222,2),"Mo","Di","Mi","Do","Fr","Sa","So"))</f>
        <v>Fr</v>
      </c>
      <c r="C222" s="26" t="n">
        <f aca="false">IF($A222="","",MONTH($A222))</f>
        <v>8</v>
      </c>
      <c r="D222" s="26" t="str">
        <f aca="false">IF($A222="","",IF(INDEX(Muster!$C$6:$BF$6,1,MOD($A222-Einstellungen!$C$6,Einstellungen!$C$7)+1)="","-",INDEX(Muster!$C$6:$BF$6,1,MOD($A222-Einstellungen!$C$6,Einstellungen!$C$7)+1)))</f>
        <v>-</v>
      </c>
      <c r="E222" s="27" t="n">
        <f aca="false">IF($A222="","",IFERROR(VLOOKUP(D222,Schichten!$A$5:$G$24,6,FALSE()),0))</f>
        <v>0</v>
      </c>
      <c r="F222" s="27" t="n">
        <f aca="false">IF($A222="","",IFERROR(VLOOKUP(D222,Schichten!$A$5:$G$24,7,FALSE()),0))</f>
        <v>0</v>
      </c>
      <c r="G222" s="28" t="str">
        <f aca="false">IF($A222="","",IF(N(E222)=0,"",$A222+VLOOKUP(D222,Schichten!$A$5:$G$24,3,FALSE())))</f>
        <v/>
      </c>
      <c r="H222" s="28" t="str">
        <f aca="false">IF(G222="","",$A222+VLOOKUP(D222,Schichten!$A$5:$G$24,4,FALSE())+IF(VLOOKUP(D222,Schichten!$A$5:$G$24,4,FALSE())&lt;=VLOOKUP(D222,Schichten!$A$5:$G$24,3,FALSE()),1,0))</f>
        <v/>
      </c>
      <c r="I222" s="28" t="n">
        <f aca="false">IF($A222="","",IF(N(E221)&gt;0,H221,I221))</f>
        <v>46605.25</v>
      </c>
      <c r="J222" s="27" t="str">
        <f aca="false">IF(OR(G222="",I222=""),"",(G222-I222)*24)</f>
        <v/>
      </c>
      <c r="K222" s="21" t="n">
        <f aca="false">IF($A222="","",IF(N(E222)&gt;0,N(K221)+1,0))</f>
        <v>0</v>
      </c>
      <c r="L222" s="21" t="n">
        <f aca="false">IF($A222="","",IF(N(F222)&gt;0,N(L221)+1,0))</f>
        <v>0</v>
      </c>
      <c r="M222" s="21" t="str">
        <f aca="false">IF($A222="","",IF(WEEKDAY($A222,2)&lt;&gt;7,"",IF(AND(OR(G222="",N(G222)&gt;=$A222+16/24,N(H222)&lt;=$A222+6/24),OR(I222="",N(I222)&lt;=$A222+6/24)),1,0)))</f>
        <v/>
      </c>
      <c r="N222" s="26" t="str">
        <f aca="false">IF($A222="","",IF(INDEX(Muster!$C$7:$BF$7,1,MOD($A222-Einstellungen!$C$6,Einstellungen!$C$7)+1)="","-",INDEX(Muster!$C$7:$BF$7,1,MOD($A222-Einstellungen!$C$6,Einstellungen!$C$7)+1)))</f>
        <v>N</v>
      </c>
      <c r="O222" s="27" t="n">
        <f aca="false">IF($A222="","",IFERROR(VLOOKUP(N222,Schichten!$A$5:$G$24,6,FALSE()),0))</f>
        <v>8</v>
      </c>
      <c r="P222" s="27" t="n">
        <f aca="false">IF($A222="","",IFERROR(VLOOKUP(N222,Schichten!$A$5:$G$24,7,FALSE()),0))</f>
        <v>7</v>
      </c>
      <c r="Q222" s="28" t="n">
        <f aca="false">IF($A222="","",IF(N(O222)=0,"",$A222+VLOOKUP(N222,Schichten!$A$5:$G$24,3,FALSE())))</f>
        <v>46605.9166666667</v>
      </c>
      <c r="R222" s="28" t="n">
        <f aca="false">IF(Q222="","",$A222+VLOOKUP(N222,Schichten!$A$5:$G$24,4,FALSE())+IF(VLOOKUP(N222,Schichten!$A$5:$G$24,4,FALSE())&lt;=VLOOKUP(N222,Schichten!$A$5:$G$24,3,FALSE()),1,0))</f>
        <v>46606.25</v>
      </c>
      <c r="S222" s="28" t="n">
        <f aca="false">IF($A222="","",IF(N(O221)&gt;0,R221,S221))</f>
        <v>46604.9166666667</v>
      </c>
      <c r="T222" s="27" t="n">
        <f aca="false">IF(OR(Q222="",S222=""),"",(Q222-S222)*24)</f>
        <v>24</v>
      </c>
      <c r="U222" s="21" t="n">
        <f aca="false">IF($A222="","",IF(N(O222)&gt;0,N(U221)+1,0))</f>
        <v>5</v>
      </c>
      <c r="V222" s="21" t="n">
        <f aca="false">IF($A222="","",IF(N(P222)&gt;0,N(V221)+1,0))</f>
        <v>1</v>
      </c>
      <c r="W222" s="21" t="str">
        <f aca="false">IF($A222="","",IF(WEEKDAY($A222,2)&lt;&gt;7,"",IF(AND(OR(Q222="",N(Q222)&gt;=$A222+16/24,N(R222)&lt;=$A222+6/24),OR(S222="",N(S222)&lt;=$A222+6/24)),1,0)))</f>
        <v/>
      </c>
      <c r="X222" s="26" t="str">
        <f aca="false">IF($A222="","",IF(INDEX(Muster!$C$8:$BF$8,1,MOD($A222-Einstellungen!$C$6,Einstellungen!$C$7)+1)="","-",INDEX(Muster!$C$8:$BF$8,1,MOD($A222-Einstellungen!$C$6,Einstellungen!$C$7)+1)))</f>
        <v>S</v>
      </c>
      <c r="Y222" s="27" t="n">
        <f aca="false">IF($A222="","",IFERROR(VLOOKUP(X222,Schichten!$A$5:$G$24,6,FALSE()),0))</f>
        <v>8</v>
      </c>
      <c r="Z222" s="27" t="n">
        <f aca="false">IF($A222="","",IFERROR(VLOOKUP(X222,Schichten!$A$5:$G$24,7,FALSE()),0))</f>
        <v>0</v>
      </c>
      <c r="AA222" s="28" t="n">
        <f aca="false">IF($A222="","",IF(N(Y222)=0,"",$A222+VLOOKUP(X222,Schichten!$A$5:$G$24,3,FALSE())))</f>
        <v>46605.5833333333</v>
      </c>
      <c r="AB222" s="28" t="n">
        <f aca="false">IF(AA222="","",$A222+VLOOKUP(X222,Schichten!$A$5:$G$24,4,FALSE())+IF(VLOOKUP(X222,Schichten!$A$5:$G$24,4,FALSE())&lt;=VLOOKUP(X222,Schichten!$A$5:$G$24,3,FALSE()),1,0))</f>
        <v>46605.9166666667</v>
      </c>
      <c r="AC222" s="28" t="n">
        <f aca="false">IF($A222="","",IF(N(Y221)&gt;0,AB221,AC221))</f>
        <v>46604.5833333333</v>
      </c>
      <c r="AD222" s="27" t="n">
        <f aca="false">IF(OR(AA222="",AC222=""),"",(AA222-AC222)*24)</f>
        <v>24</v>
      </c>
      <c r="AE222" s="21" t="n">
        <f aca="false">IF($A222="","",IF(N(Y222)&gt;0,N(AE221)+1,0))</f>
        <v>3</v>
      </c>
      <c r="AF222" s="21" t="n">
        <f aca="false">IF($A222="","",IF(N(Z222)&gt;0,N(AF221)+1,0))</f>
        <v>0</v>
      </c>
      <c r="AG222" s="21" t="str">
        <f aca="false">IF($A222="","",IF(WEEKDAY($A222,2)&lt;&gt;7,"",IF(AND(OR(AA222="",N(AA222)&gt;=$A222+16/24,N(AB222)&lt;=$A222+6/24),OR(AC222="",N(AC222)&lt;=$A222+6/24)),1,0)))</f>
        <v/>
      </c>
      <c r="AH222" s="26" t="str">
        <f aca="false">IF($A222="","",IF(INDEX(Muster!$C$9:$BF$9,1,MOD($A222-Einstellungen!$C$6,Einstellungen!$C$7)+1)="","-",INDEX(Muster!$C$9:$BF$9,1,MOD($A222-Einstellungen!$C$6,Einstellungen!$C$7)+1)))</f>
        <v>F</v>
      </c>
      <c r="AI222" s="27" t="n">
        <f aca="false">IF($A222="","",IFERROR(VLOOKUP(AH222,Schichten!$A$5:$G$24,6,FALSE()),0))</f>
        <v>8</v>
      </c>
      <c r="AJ222" s="27" t="n">
        <f aca="false">IF($A222="","",IFERROR(VLOOKUP(AH222,Schichten!$A$5:$G$24,7,FALSE()),0))</f>
        <v>0</v>
      </c>
      <c r="AK222" s="28" t="n">
        <f aca="false">IF($A222="","",IF(N(AI222)=0,"",$A222+VLOOKUP(AH222,Schichten!$A$5:$G$24,3,FALSE())))</f>
        <v>46605.25</v>
      </c>
      <c r="AL222" s="28" t="n">
        <f aca="false">IF(AK222="","",$A222+VLOOKUP(AH222,Schichten!$A$5:$G$24,4,FALSE())+IF(VLOOKUP(AH222,Schichten!$A$5:$G$24,4,FALSE())&lt;=VLOOKUP(AH222,Schichten!$A$5:$G$24,3,FALSE()),1,0))</f>
        <v>46605.5833333333</v>
      </c>
      <c r="AM222" s="28" t="n">
        <f aca="false">IF($A222="","",IF(N(AI221)&gt;0,AL221,AM221))</f>
        <v>46603.25</v>
      </c>
      <c r="AN222" s="27" t="n">
        <f aca="false">IF(OR(AK222="",AM222=""),"",(AK222-AM222)*24)</f>
        <v>48</v>
      </c>
      <c r="AO222" s="21" t="n">
        <f aca="false">IF($A222="","",IF(N(AI222)&gt;0,N(AO221)+1,0))</f>
        <v>1</v>
      </c>
      <c r="AP222" s="21" t="n">
        <f aca="false">IF($A222="","",IF(N(AJ222)&gt;0,N(AP221)+1,0))</f>
        <v>0</v>
      </c>
      <c r="AQ222" s="21" t="str">
        <f aca="false">IF($A222="","",IF(WEEKDAY($A222,2)&lt;&gt;7,"",IF(AND(OR(AK222="",N(AK222)&gt;=$A222+16/24,N(AL222)&lt;=$A222+6/24),OR(AM222="",N(AM222)&lt;=$A222+6/24)),1,0)))</f>
        <v/>
      </c>
      <c r="AR222" s="26" t="str">
        <f aca="false">IF($A222="","",IF(INDEX(Muster!$C$10:$BF$10,1,MOD($A222-Einstellungen!$C$6,Einstellungen!$C$7)+1)="","-",INDEX(Muster!$C$10:$BF$10,1,MOD($A222-Einstellungen!$C$6,Einstellungen!$C$7)+1)))</f>
        <v>-</v>
      </c>
      <c r="AS222" s="27" t="n">
        <f aca="false">IF($A222="","",IFERROR(VLOOKUP(AR222,Schichten!$A$5:$G$24,6,FALSE()),0))</f>
        <v>0</v>
      </c>
      <c r="AT222" s="27" t="n">
        <f aca="false">IF($A222="","",IFERROR(VLOOKUP(AR222,Schichten!$A$5:$G$24,7,FALSE()),0))</f>
        <v>0</v>
      </c>
      <c r="AU222" s="28" t="str">
        <f aca="false">IF($A222="","",IF(N(AS222)=0,"",$A222+VLOOKUP(AR222,Schichten!$A$5:$G$24,3,FALSE())))</f>
        <v/>
      </c>
      <c r="AV222" s="28" t="str">
        <f aca="false">IF(AU222="","",$A222+VLOOKUP(AR222,Schichten!$A$5:$G$24,4,FALSE())+IF(VLOOKUP(AR222,Schichten!$A$5:$G$24,4,FALSE())&lt;=VLOOKUP(AR222,Schichten!$A$5:$G$24,3,FALSE()),1,0))</f>
        <v/>
      </c>
      <c r="AW222" s="28" t="str">
        <f aca="false">IF($A222="","",IF(N(AS221)&gt;0,AV221,AW221))</f>
        <v/>
      </c>
      <c r="AX222" s="27" t="str">
        <f aca="false">IF(OR(AU222="",AW222=""),"",(AU222-AW222)*24)</f>
        <v/>
      </c>
      <c r="AY222" s="21" t="n">
        <f aca="false">IF($A222="","",IF(N(AS222)&gt;0,N(AY221)+1,0))</f>
        <v>0</v>
      </c>
      <c r="AZ222" s="21" t="n">
        <f aca="false">IF($A222="","",IF(N(AT222)&gt;0,N(AZ221)+1,0))</f>
        <v>0</v>
      </c>
      <c r="BA222" s="21" t="str">
        <f aca="false">IF($A222="","",IF(WEEKDAY($A222,2)&lt;&gt;7,"",IF(AND(OR(AU222="",N(AU222)&gt;=$A222+16/24,N(AV222)&lt;=$A222+6/24),OR(AW222="",N(AW222)&lt;=$A222+6/24)),1,0)))</f>
        <v/>
      </c>
    </row>
    <row r="223" customFormat="false" ht="15" hidden="false" customHeight="false" outlineLevel="0" collapsed="false">
      <c r="A223" s="25" t="n">
        <f aca="false">IF(YEAR(DATE(Einstellungen!$C$4,1,1)+218)=Einstellungen!$C$4,DATE(Einstellungen!$C$4,1,1)+218,"")</f>
        <v>46606</v>
      </c>
      <c r="B223" s="26" t="str">
        <f aca="false">IF($A223="","",CHOOSE(WEEKDAY($A223,2),"Mo","Di","Mi","Do","Fr","Sa","So"))</f>
        <v>Sa</v>
      </c>
      <c r="C223" s="26" t="n">
        <f aca="false">IF($A223="","",MONTH($A223))</f>
        <v>8</v>
      </c>
      <c r="D223" s="26" t="str">
        <f aca="false">IF($A223="","",IF(INDEX(Muster!$C$6:$BF$6,1,MOD($A223-Einstellungen!$C$6,Einstellungen!$C$7)+1)="","-",INDEX(Muster!$C$6:$BF$6,1,MOD($A223-Einstellungen!$C$6,Einstellungen!$C$7)+1)))</f>
        <v>-</v>
      </c>
      <c r="E223" s="27" t="n">
        <f aca="false">IF($A223="","",IFERROR(VLOOKUP(D223,Schichten!$A$5:$G$24,6,FALSE()),0))</f>
        <v>0</v>
      </c>
      <c r="F223" s="27" t="n">
        <f aca="false">IF($A223="","",IFERROR(VLOOKUP(D223,Schichten!$A$5:$G$24,7,FALSE()),0))</f>
        <v>0</v>
      </c>
      <c r="G223" s="28" t="str">
        <f aca="false">IF($A223="","",IF(N(E223)=0,"",$A223+VLOOKUP(D223,Schichten!$A$5:$G$24,3,FALSE())))</f>
        <v/>
      </c>
      <c r="H223" s="28" t="str">
        <f aca="false">IF(G223="","",$A223+VLOOKUP(D223,Schichten!$A$5:$G$24,4,FALSE())+IF(VLOOKUP(D223,Schichten!$A$5:$G$24,4,FALSE())&lt;=VLOOKUP(D223,Schichten!$A$5:$G$24,3,FALSE()),1,0))</f>
        <v/>
      </c>
      <c r="I223" s="28" t="n">
        <f aca="false">IF($A223="","",IF(N(E222)&gt;0,H222,I222))</f>
        <v>46605.25</v>
      </c>
      <c r="J223" s="27" t="str">
        <f aca="false">IF(OR(G223="",I223=""),"",(G223-I223)*24)</f>
        <v/>
      </c>
      <c r="K223" s="21" t="n">
        <f aca="false">IF($A223="","",IF(N(E223)&gt;0,N(K222)+1,0))</f>
        <v>0</v>
      </c>
      <c r="L223" s="21" t="n">
        <f aca="false">IF($A223="","",IF(N(F223)&gt;0,N(L222)+1,0))</f>
        <v>0</v>
      </c>
      <c r="M223" s="21" t="str">
        <f aca="false">IF($A223="","",IF(WEEKDAY($A223,2)&lt;&gt;7,"",IF(AND(OR(G223="",N(G223)&gt;=$A223+16/24,N(H223)&lt;=$A223+6/24),OR(I223="",N(I223)&lt;=$A223+6/24)),1,0)))</f>
        <v/>
      </c>
      <c r="N223" s="26" t="str">
        <f aca="false">IF($A223="","",IF(INDEX(Muster!$C$7:$BF$7,1,MOD($A223-Einstellungen!$C$6,Einstellungen!$C$7)+1)="","-",INDEX(Muster!$C$7:$BF$7,1,MOD($A223-Einstellungen!$C$6,Einstellungen!$C$7)+1)))</f>
        <v>N</v>
      </c>
      <c r="O223" s="27" t="n">
        <f aca="false">IF($A223="","",IFERROR(VLOOKUP(N223,Schichten!$A$5:$G$24,6,FALSE()),0))</f>
        <v>8</v>
      </c>
      <c r="P223" s="27" t="n">
        <f aca="false">IF($A223="","",IFERROR(VLOOKUP(N223,Schichten!$A$5:$G$24,7,FALSE()),0))</f>
        <v>7</v>
      </c>
      <c r="Q223" s="28" t="n">
        <f aca="false">IF($A223="","",IF(N(O223)=0,"",$A223+VLOOKUP(N223,Schichten!$A$5:$G$24,3,FALSE())))</f>
        <v>46606.9166666667</v>
      </c>
      <c r="R223" s="28" t="n">
        <f aca="false">IF(Q223="","",$A223+VLOOKUP(N223,Schichten!$A$5:$G$24,4,FALSE())+IF(VLOOKUP(N223,Schichten!$A$5:$G$24,4,FALSE())&lt;=VLOOKUP(N223,Schichten!$A$5:$G$24,3,FALSE()),1,0))</f>
        <v>46607.25</v>
      </c>
      <c r="S223" s="28" t="n">
        <f aca="false">IF($A223="","",IF(N(O222)&gt;0,R222,S222))</f>
        <v>46606.25</v>
      </c>
      <c r="T223" s="27" t="n">
        <f aca="false">IF(OR(Q223="",S223=""),"",(Q223-S223)*24)</f>
        <v>16</v>
      </c>
      <c r="U223" s="21" t="n">
        <f aca="false">IF($A223="","",IF(N(O223)&gt;0,N(U222)+1,0))</f>
        <v>6</v>
      </c>
      <c r="V223" s="21" t="n">
        <f aca="false">IF($A223="","",IF(N(P223)&gt;0,N(V222)+1,0))</f>
        <v>2</v>
      </c>
      <c r="W223" s="21" t="str">
        <f aca="false">IF($A223="","",IF(WEEKDAY($A223,2)&lt;&gt;7,"",IF(AND(OR(Q223="",N(Q223)&gt;=$A223+16/24,N(R223)&lt;=$A223+6/24),OR(S223="",N(S223)&lt;=$A223+6/24)),1,0)))</f>
        <v/>
      </c>
      <c r="X223" s="26" t="str">
        <f aca="false">IF($A223="","",IF(INDEX(Muster!$C$8:$BF$8,1,MOD($A223-Einstellungen!$C$6,Einstellungen!$C$7)+1)="","-",INDEX(Muster!$C$8:$BF$8,1,MOD($A223-Einstellungen!$C$6,Einstellungen!$C$7)+1)))</f>
        <v>S</v>
      </c>
      <c r="Y223" s="27" t="n">
        <f aca="false">IF($A223="","",IFERROR(VLOOKUP(X223,Schichten!$A$5:$G$24,6,FALSE()),0))</f>
        <v>8</v>
      </c>
      <c r="Z223" s="27" t="n">
        <f aca="false">IF($A223="","",IFERROR(VLOOKUP(X223,Schichten!$A$5:$G$24,7,FALSE()),0))</f>
        <v>0</v>
      </c>
      <c r="AA223" s="28" t="n">
        <f aca="false">IF($A223="","",IF(N(Y223)=0,"",$A223+VLOOKUP(X223,Schichten!$A$5:$G$24,3,FALSE())))</f>
        <v>46606.5833333333</v>
      </c>
      <c r="AB223" s="28" t="n">
        <f aca="false">IF(AA223="","",$A223+VLOOKUP(X223,Schichten!$A$5:$G$24,4,FALSE())+IF(VLOOKUP(X223,Schichten!$A$5:$G$24,4,FALSE())&lt;=VLOOKUP(X223,Schichten!$A$5:$G$24,3,FALSE()),1,0))</f>
        <v>46606.9166666667</v>
      </c>
      <c r="AC223" s="28" t="n">
        <f aca="false">IF($A223="","",IF(N(Y222)&gt;0,AB222,AC222))</f>
        <v>46605.9166666667</v>
      </c>
      <c r="AD223" s="27" t="n">
        <f aca="false">IF(OR(AA223="",AC223=""),"",(AA223-AC223)*24)</f>
        <v>16</v>
      </c>
      <c r="AE223" s="21" t="n">
        <f aca="false">IF($A223="","",IF(N(Y223)&gt;0,N(AE222)+1,0))</f>
        <v>4</v>
      </c>
      <c r="AF223" s="21" t="n">
        <f aca="false">IF($A223="","",IF(N(Z223)&gt;0,N(AF222)+1,0))</f>
        <v>0</v>
      </c>
      <c r="AG223" s="21" t="str">
        <f aca="false">IF($A223="","",IF(WEEKDAY($A223,2)&lt;&gt;7,"",IF(AND(OR(AA223="",N(AA223)&gt;=$A223+16/24,N(AB223)&lt;=$A223+6/24),OR(AC223="",N(AC223)&lt;=$A223+6/24)),1,0)))</f>
        <v/>
      </c>
      <c r="AH223" s="26" t="str">
        <f aca="false">IF($A223="","",IF(INDEX(Muster!$C$9:$BF$9,1,MOD($A223-Einstellungen!$C$6,Einstellungen!$C$7)+1)="","-",INDEX(Muster!$C$9:$BF$9,1,MOD($A223-Einstellungen!$C$6,Einstellungen!$C$7)+1)))</f>
        <v>F</v>
      </c>
      <c r="AI223" s="27" t="n">
        <f aca="false">IF($A223="","",IFERROR(VLOOKUP(AH223,Schichten!$A$5:$G$24,6,FALSE()),0))</f>
        <v>8</v>
      </c>
      <c r="AJ223" s="27" t="n">
        <f aca="false">IF($A223="","",IFERROR(VLOOKUP(AH223,Schichten!$A$5:$G$24,7,FALSE()),0))</f>
        <v>0</v>
      </c>
      <c r="AK223" s="28" t="n">
        <f aca="false">IF($A223="","",IF(N(AI223)=0,"",$A223+VLOOKUP(AH223,Schichten!$A$5:$G$24,3,FALSE())))</f>
        <v>46606.25</v>
      </c>
      <c r="AL223" s="28" t="n">
        <f aca="false">IF(AK223="","",$A223+VLOOKUP(AH223,Schichten!$A$5:$G$24,4,FALSE())+IF(VLOOKUP(AH223,Schichten!$A$5:$G$24,4,FALSE())&lt;=VLOOKUP(AH223,Schichten!$A$5:$G$24,3,FALSE()),1,0))</f>
        <v>46606.5833333333</v>
      </c>
      <c r="AM223" s="28" t="n">
        <f aca="false">IF($A223="","",IF(N(AI222)&gt;0,AL222,AM222))</f>
        <v>46605.5833333333</v>
      </c>
      <c r="AN223" s="27" t="n">
        <f aca="false">IF(OR(AK223="",AM223=""),"",(AK223-AM223)*24)</f>
        <v>16</v>
      </c>
      <c r="AO223" s="21" t="n">
        <f aca="false">IF($A223="","",IF(N(AI223)&gt;0,N(AO222)+1,0))</f>
        <v>2</v>
      </c>
      <c r="AP223" s="21" t="n">
        <f aca="false">IF($A223="","",IF(N(AJ223)&gt;0,N(AP222)+1,0))</f>
        <v>0</v>
      </c>
      <c r="AQ223" s="21" t="str">
        <f aca="false">IF($A223="","",IF(WEEKDAY($A223,2)&lt;&gt;7,"",IF(AND(OR(AK223="",N(AK223)&gt;=$A223+16/24,N(AL223)&lt;=$A223+6/24),OR(AM223="",N(AM223)&lt;=$A223+6/24)),1,0)))</f>
        <v/>
      </c>
      <c r="AR223" s="26" t="str">
        <f aca="false">IF($A223="","",IF(INDEX(Muster!$C$10:$BF$10,1,MOD($A223-Einstellungen!$C$6,Einstellungen!$C$7)+1)="","-",INDEX(Muster!$C$10:$BF$10,1,MOD($A223-Einstellungen!$C$6,Einstellungen!$C$7)+1)))</f>
        <v>-</v>
      </c>
      <c r="AS223" s="27" t="n">
        <f aca="false">IF($A223="","",IFERROR(VLOOKUP(AR223,Schichten!$A$5:$G$24,6,FALSE()),0))</f>
        <v>0</v>
      </c>
      <c r="AT223" s="27" t="n">
        <f aca="false">IF($A223="","",IFERROR(VLOOKUP(AR223,Schichten!$A$5:$G$24,7,FALSE()),0))</f>
        <v>0</v>
      </c>
      <c r="AU223" s="28" t="str">
        <f aca="false">IF($A223="","",IF(N(AS223)=0,"",$A223+VLOOKUP(AR223,Schichten!$A$5:$G$24,3,FALSE())))</f>
        <v/>
      </c>
      <c r="AV223" s="28" t="str">
        <f aca="false">IF(AU223="","",$A223+VLOOKUP(AR223,Schichten!$A$5:$G$24,4,FALSE())+IF(VLOOKUP(AR223,Schichten!$A$5:$G$24,4,FALSE())&lt;=VLOOKUP(AR223,Schichten!$A$5:$G$24,3,FALSE()),1,0))</f>
        <v/>
      </c>
      <c r="AW223" s="28" t="str">
        <f aca="false">IF($A223="","",IF(N(AS222)&gt;0,AV222,AW222))</f>
        <v/>
      </c>
      <c r="AX223" s="27" t="str">
        <f aca="false">IF(OR(AU223="",AW223=""),"",(AU223-AW223)*24)</f>
        <v/>
      </c>
      <c r="AY223" s="21" t="n">
        <f aca="false">IF($A223="","",IF(N(AS223)&gt;0,N(AY222)+1,0))</f>
        <v>0</v>
      </c>
      <c r="AZ223" s="21" t="n">
        <f aca="false">IF($A223="","",IF(N(AT223)&gt;0,N(AZ222)+1,0))</f>
        <v>0</v>
      </c>
      <c r="BA223" s="21" t="str">
        <f aca="false">IF($A223="","",IF(WEEKDAY($A223,2)&lt;&gt;7,"",IF(AND(OR(AU223="",N(AU223)&gt;=$A223+16/24,N(AV223)&lt;=$A223+6/24),OR(AW223="",N(AW223)&lt;=$A223+6/24)),1,0)))</f>
        <v/>
      </c>
    </row>
    <row r="224" customFormat="false" ht="15" hidden="false" customHeight="false" outlineLevel="0" collapsed="false">
      <c r="A224" s="25" t="n">
        <f aca="false">IF(YEAR(DATE(Einstellungen!$C$4,1,1)+219)=Einstellungen!$C$4,DATE(Einstellungen!$C$4,1,1)+219,"")</f>
        <v>46607</v>
      </c>
      <c r="B224" s="26" t="str">
        <f aca="false">IF($A224="","",CHOOSE(WEEKDAY($A224,2),"Mo","Di","Mi","Do","Fr","Sa","So"))</f>
        <v>So</v>
      </c>
      <c r="C224" s="26" t="n">
        <f aca="false">IF($A224="","",MONTH($A224))</f>
        <v>8</v>
      </c>
      <c r="D224" s="26" t="str">
        <f aca="false">IF($A224="","",IF(INDEX(Muster!$C$6:$BF$6,1,MOD($A224-Einstellungen!$C$6,Einstellungen!$C$7)+1)="","-",INDEX(Muster!$C$6:$BF$6,1,MOD($A224-Einstellungen!$C$6,Einstellungen!$C$7)+1)))</f>
        <v>F</v>
      </c>
      <c r="E224" s="27" t="n">
        <f aca="false">IF($A224="","",IFERROR(VLOOKUP(D224,Schichten!$A$5:$G$24,6,FALSE()),0))</f>
        <v>8</v>
      </c>
      <c r="F224" s="27" t="n">
        <f aca="false">IF($A224="","",IFERROR(VLOOKUP(D224,Schichten!$A$5:$G$24,7,FALSE()),0))</f>
        <v>0</v>
      </c>
      <c r="G224" s="28" t="n">
        <f aca="false">IF($A224="","",IF(N(E224)=0,"",$A224+VLOOKUP(D224,Schichten!$A$5:$G$24,3,FALSE())))</f>
        <v>46607.25</v>
      </c>
      <c r="H224" s="28" t="n">
        <f aca="false">IF(G224="","",$A224+VLOOKUP(D224,Schichten!$A$5:$G$24,4,FALSE())+IF(VLOOKUP(D224,Schichten!$A$5:$G$24,4,FALSE())&lt;=VLOOKUP(D224,Schichten!$A$5:$G$24,3,FALSE()),1,0))</f>
        <v>46607.5833333333</v>
      </c>
      <c r="I224" s="28" t="n">
        <f aca="false">IF($A224="","",IF(N(E223)&gt;0,H223,I223))</f>
        <v>46605.25</v>
      </c>
      <c r="J224" s="27" t="n">
        <f aca="false">IF(OR(G224="",I224=""),"",(G224-I224)*24)</f>
        <v>48</v>
      </c>
      <c r="K224" s="21" t="n">
        <f aca="false">IF($A224="","",IF(N(E224)&gt;0,N(K223)+1,0))</f>
        <v>1</v>
      </c>
      <c r="L224" s="21" t="n">
        <f aca="false">IF($A224="","",IF(N(F224)&gt;0,N(L223)+1,0))</f>
        <v>0</v>
      </c>
      <c r="M224" s="21" t="n">
        <f aca="false">IF($A224="","",IF(WEEKDAY($A224,2)&lt;&gt;7,"",IF(AND(OR(G224="",N(G224)&gt;=$A224+16/24,N(H224)&lt;=$A224+6/24),OR(I224="",N(I224)&lt;=$A224+6/24)),1,0)))</f>
        <v>0</v>
      </c>
      <c r="N224" s="26" t="str">
        <f aca="false">IF($A224="","",IF(INDEX(Muster!$C$7:$BF$7,1,MOD($A224-Einstellungen!$C$6,Einstellungen!$C$7)+1)="","-",INDEX(Muster!$C$7:$BF$7,1,MOD($A224-Einstellungen!$C$6,Einstellungen!$C$7)+1)))</f>
        <v>-</v>
      </c>
      <c r="O224" s="27" t="n">
        <f aca="false">IF($A224="","",IFERROR(VLOOKUP(N224,Schichten!$A$5:$G$24,6,FALSE()),0))</f>
        <v>0</v>
      </c>
      <c r="P224" s="27" t="n">
        <f aca="false">IF($A224="","",IFERROR(VLOOKUP(N224,Schichten!$A$5:$G$24,7,FALSE()),0))</f>
        <v>0</v>
      </c>
      <c r="Q224" s="28" t="str">
        <f aca="false">IF($A224="","",IF(N(O224)=0,"",$A224+VLOOKUP(N224,Schichten!$A$5:$G$24,3,FALSE())))</f>
        <v/>
      </c>
      <c r="R224" s="28" t="str">
        <f aca="false">IF(Q224="","",$A224+VLOOKUP(N224,Schichten!$A$5:$G$24,4,FALSE())+IF(VLOOKUP(N224,Schichten!$A$5:$G$24,4,FALSE())&lt;=VLOOKUP(N224,Schichten!$A$5:$G$24,3,FALSE()),1,0))</f>
        <v/>
      </c>
      <c r="S224" s="28" t="n">
        <f aca="false">IF($A224="","",IF(N(O223)&gt;0,R223,S223))</f>
        <v>46607.25</v>
      </c>
      <c r="T224" s="27" t="str">
        <f aca="false">IF(OR(Q224="",S224=""),"",(Q224-S224)*24)</f>
        <v/>
      </c>
      <c r="U224" s="21" t="n">
        <f aca="false">IF($A224="","",IF(N(O224)&gt;0,N(U223)+1,0))</f>
        <v>0</v>
      </c>
      <c r="V224" s="21" t="n">
        <f aca="false">IF($A224="","",IF(N(P224)&gt;0,N(V223)+1,0))</f>
        <v>0</v>
      </c>
      <c r="W224" s="21" t="n">
        <f aca="false">IF($A224="","",IF(WEEKDAY($A224,2)&lt;&gt;7,"",IF(AND(OR(Q224="",N(Q224)&gt;=$A224+16/24,N(R224)&lt;=$A224+6/24),OR(S224="",N(S224)&lt;=$A224+6/24)),1,0)))</f>
        <v>1</v>
      </c>
      <c r="X224" s="26" t="str">
        <f aca="false">IF($A224="","",IF(INDEX(Muster!$C$8:$BF$8,1,MOD($A224-Einstellungen!$C$6,Einstellungen!$C$7)+1)="","-",INDEX(Muster!$C$8:$BF$8,1,MOD($A224-Einstellungen!$C$6,Einstellungen!$C$7)+1)))</f>
        <v>N</v>
      </c>
      <c r="Y224" s="27" t="n">
        <f aca="false">IF($A224="","",IFERROR(VLOOKUP(X224,Schichten!$A$5:$G$24,6,FALSE()),0))</f>
        <v>8</v>
      </c>
      <c r="Z224" s="27" t="n">
        <f aca="false">IF($A224="","",IFERROR(VLOOKUP(X224,Schichten!$A$5:$G$24,7,FALSE()),0))</f>
        <v>7</v>
      </c>
      <c r="AA224" s="28" t="n">
        <f aca="false">IF($A224="","",IF(N(Y224)=0,"",$A224+VLOOKUP(X224,Schichten!$A$5:$G$24,3,FALSE())))</f>
        <v>46607.9166666667</v>
      </c>
      <c r="AB224" s="28" t="n">
        <f aca="false">IF(AA224="","",$A224+VLOOKUP(X224,Schichten!$A$5:$G$24,4,FALSE())+IF(VLOOKUP(X224,Schichten!$A$5:$G$24,4,FALSE())&lt;=VLOOKUP(X224,Schichten!$A$5:$G$24,3,FALSE()),1,0))</f>
        <v>46608.25</v>
      </c>
      <c r="AC224" s="28" t="n">
        <f aca="false">IF($A224="","",IF(N(Y223)&gt;0,AB223,AC223))</f>
        <v>46606.9166666667</v>
      </c>
      <c r="AD224" s="27" t="n">
        <f aca="false">IF(OR(AA224="",AC224=""),"",(AA224-AC224)*24)</f>
        <v>24</v>
      </c>
      <c r="AE224" s="21" t="n">
        <f aca="false">IF($A224="","",IF(N(Y224)&gt;0,N(AE223)+1,0))</f>
        <v>5</v>
      </c>
      <c r="AF224" s="21" t="n">
        <f aca="false">IF($A224="","",IF(N(Z224)&gt;0,N(AF223)+1,0))</f>
        <v>1</v>
      </c>
      <c r="AG224" s="21" t="n">
        <f aca="false">IF($A224="","",IF(WEEKDAY($A224,2)&lt;&gt;7,"",IF(AND(OR(AA224="",N(AA224)&gt;=$A224+16/24,N(AB224)&lt;=$A224+6/24),OR(AC224="",N(AC224)&lt;=$A224+6/24)),1,0)))</f>
        <v>1</v>
      </c>
      <c r="AH224" s="26" t="str">
        <f aca="false">IF($A224="","",IF(INDEX(Muster!$C$9:$BF$9,1,MOD($A224-Einstellungen!$C$6,Einstellungen!$C$7)+1)="","-",INDEX(Muster!$C$9:$BF$9,1,MOD($A224-Einstellungen!$C$6,Einstellungen!$C$7)+1)))</f>
        <v>S</v>
      </c>
      <c r="AI224" s="27" t="n">
        <f aca="false">IF($A224="","",IFERROR(VLOOKUP(AH224,Schichten!$A$5:$G$24,6,FALSE()),0))</f>
        <v>8</v>
      </c>
      <c r="AJ224" s="27" t="n">
        <f aca="false">IF($A224="","",IFERROR(VLOOKUP(AH224,Schichten!$A$5:$G$24,7,FALSE()),0))</f>
        <v>0</v>
      </c>
      <c r="AK224" s="28" t="n">
        <f aca="false">IF($A224="","",IF(N(AI224)=0,"",$A224+VLOOKUP(AH224,Schichten!$A$5:$G$24,3,FALSE())))</f>
        <v>46607.5833333333</v>
      </c>
      <c r="AL224" s="28" t="n">
        <f aca="false">IF(AK224="","",$A224+VLOOKUP(AH224,Schichten!$A$5:$G$24,4,FALSE())+IF(VLOOKUP(AH224,Schichten!$A$5:$G$24,4,FALSE())&lt;=VLOOKUP(AH224,Schichten!$A$5:$G$24,3,FALSE()),1,0))</f>
        <v>46607.9166666667</v>
      </c>
      <c r="AM224" s="28" t="n">
        <f aca="false">IF($A224="","",IF(N(AI223)&gt;0,AL223,AM223))</f>
        <v>46606.5833333333</v>
      </c>
      <c r="AN224" s="27" t="n">
        <f aca="false">IF(OR(AK224="",AM224=""),"",(AK224-AM224)*24)</f>
        <v>24</v>
      </c>
      <c r="AO224" s="21" t="n">
        <f aca="false">IF($A224="","",IF(N(AI224)&gt;0,N(AO223)+1,0))</f>
        <v>3</v>
      </c>
      <c r="AP224" s="21" t="n">
        <f aca="false">IF($A224="","",IF(N(AJ224)&gt;0,N(AP223)+1,0))</f>
        <v>0</v>
      </c>
      <c r="AQ224" s="21" t="n">
        <f aca="false">IF($A224="","",IF(WEEKDAY($A224,2)&lt;&gt;7,"",IF(AND(OR(AK224="",N(AK224)&gt;=$A224+16/24,N(AL224)&lt;=$A224+6/24),OR(AM224="",N(AM224)&lt;=$A224+6/24)),1,0)))</f>
        <v>0</v>
      </c>
      <c r="AR224" s="26" t="str">
        <f aca="false">IF($A224="","",IF(INDEX(Muster!$C$10:$BF$10,1,MOD($A224-Einstellungen!$C$6,Einstellungen!$C$7)+1)="","-",INDEX(Muster!$C$10:$BF$10,1,MOD($A224-Einstellungen!$C$6,Einstellungen!$C$7)+1)))</f>
        <v>-</v>
      </c>
      <c r="AS224" s="27" t="n">
        <f aca="false">IF($A224="","",IFERROR(VLOOKUP(AR224,Schichten!$A$5:$G$24,6,FALSE()),0))</f>
        <v>0</v>
      </c>
      <c r="AT224" s="27" t="n">
        <f aca="false">IF($A224="","",IFERROR(VLOOKUP(AR224,Schichten!$A$5:$G$24,7,FALSE()),0))</f>
        <v>0</v>
      </c>
      <c r="AU224" s="28" t="str">
        <f aca="false">IF($A224="","",IF(N(AS224)=0,"",$A224+VLOOKUP(AR224,Schichten!$A$5:$G$24,3,FALSE())))</f>
        <v/>
      </c>
      <c r="AV224" s="28" t="str">
        <f aca="false">IF(AU224="","",$A224+VLOOKUP(AR224,Schichten!$A$5:$G$24,4,FALSE())+IF(VLOOKUP(AR224,Schichten!$A$5:$G$24,4,FALSE())&lt;=VLOOKUP(AR224,Schichten!$A$5:$G$24,3,FALSE()),1,0))</f>
        <v/>
      </c>
      <c r="AW224" s="28" t="str">
        <f aca="false">IF($A224="","",IF(N(AS223)&gt;0,AV223,AW223))</f>
        <v/>
      </c>
      <c r="AX224" s="27" t="str">
        <f aca="false">IF(OR(AU224="",AW224=""),"",(AU224-AW224)*24)</f>
        <v/>
      </c>
      <c r="AY224" s="21" t="n">
        <f aca="false">IF($A224="","",IF(N(AS224)&gt;0,N(AY223)+1,0))</f>
        <v>0</v>
      </c>
      <c r="AZ224" s="21" t="n">
        <f aca="false">IF($A224="","",IF(N(AT224)&gt;0,N(AZ223)+1,0))</f>
        <v>0</v>
      </c>
      <c r="BA224" s="21" t="n">
        <f aca="false">IF($A224="","",IF(WEEKDAY($A224,2)&lt;&gt;7,"",IF(AND(OR(AU224="",N(AU224)&gt;=$A224+16/24,N(AV224)&lt;=$A224+6/24),OR(AW224="",N(AW224)&lt;=$A224+6/24)),1,0)))</f>
        <v>1</v>
      </c>
    </row>
    <row r="225" customFormat="false" ht="15" hidden="false" customHeight="false" outlineLevel="0" collapsed="false">
      <c r="A225" s="25" t="n">
        <f aca="false">IF(YEAR(DATE(Einstellungen!$C$4,1,1)+220)=Einstellungen!$C$4,DATE(Einstellungen!$C$4,1,1)+220,"")</f>
        <v>46608</v>
      </c>
      <c r="B225" s="26" t="str">
        <f aca="false">IF($A225="","",CHOOSE(WEEKDAY($A225,2),"Mo","Di","Mi","Do","Fr","Sa","So"))</f>
        <v>Mo</v>
      </c>
      <c r="C225" s="26" t="n">
        <f aca="false">IF($A225="","",MONTH($A225))</f>
        <v>8</v>
      </c>
      <c r="D225" s="26" t="str">
        <f aca="false">IF($A225="","",IF(INDEX(Muster!$C$6:$BF$6,1,MOD($A225-Einstellungen!$C$6,Einstellungen!$C$7)+1)="","-",INDEX(Muster!$C$6:$BF$6,1,MOD($A225-Einstellungen!$C$6,Einstellungen!$C$7)+1)))</f>
        <v>F</v>
      </c>
      <c r="E225" s="27" t="n">
        <f aca="false">IF($A225="","",IFERROR(VLOOKUP(D225,Schichten!$A$5:$G$24,6,FALSE()),0))</f>
        <v>8</v>
      </c>
      <c r="F225" s="27" t="n">
        <f aca="false">IF($A225="","",IFERROR(VLOOKUP(D225,Schichten!$A$5:$G$24,7,FALSE()),0))</f>
        <v>0</v>
      </c>
      <c r="G225" s="28" t="n">
        <f aca="false">IF($A225="","",IF(N(E225)=0,"",$A225+VLOOKUP(D225,Schichten!$A$5:$G$24,3,FALSE())))</f>
        <v>46608.25</v>
      </c>
      <c r="H225" s="28" t="n">
        <f aca="false">IF(G225="","",$A225+VLOOKUP(D225,Schichten!$A$5:$G$24,4,FALSE())+IF(VLOOKUP(D225,Schichten!$A$5:$G$24,4,FALSE())&lt;=VLOOKUP(D225,Schichten!$A$5:$G$24,3,FALSE()),1,0))</f>
        <v>46608.5833333333</v>
      </c>
      <c r="I225" s="28" t="n">
        <f aca="false">IF($A225="","",IF(N(E224)&gt;0,H224,I224))</f>
        <v>46607.5833333333</v>
      </c>
      <c r="J225" s="27" t="n">
        <f aca="false">IF(OR(G225="",I225=""),"",(G225-I225)*24)</f>
        <v>16</v>
      </c>
      <c r="K225" s="21" t="n">
        <f aca="false">IF($A225="","",IF(N(E225)&gt;0,N(K224)+1,0))</f>
        <v>2</v>
      </c>
      <c r="L225" s="21" t="n">
        <f aca="false">IF($A225="","",IF(N(F225)&gt;0,N(L224)+1,0))</f>
        <v>0</v>
      </c>
      <c r="M225" s="21" t="str">
        <f aca="false">IF($A225="","",IF(WEEKDAY($A225,2)&lt;&gt;7,"",IF(AND(OR(G225="",N(G225)&gt;=$A225+16/24,N(H225)&lt;=$A225+6/24),OR(I225="",N(I225)&lt;=$A225+6/24)),1,0)))</f>
        <v/>
      </c>
      <c r="N225" s="26" t="str">
        <f aca="false">IF($A225="","",IF(INDEX(Muster!$C$7:$BF$7,1,MOD($A225-Einstellungen!$C$6,Einstellungen!$C$7)+1)="","-",INDEX(Muster!$C$7:$BF$7,1,MOD($A225-Einstellungen!$C$6,Einstellungen!$C$7)+1)))</f>
        <v>-</v>
      </c>
      <c r="O225" s="27" t="n">
        <f aca="false">IF($A225="","",IFERROR(VLOOKUP(N225,Schichten!$A$5:$G$24,6,FALSE()),0))</f>
        <v>0</v>
      </c>
      <c r="P225" s="27" t="n">
        <f aca="false">IF($A225="","",IFERROR(VLOOKUP(N225,Schichten!$A$5:$G$24,7,FALSE()),0))</f>
        <v>0</v>
      </c>
      <c r="Q225" s="28" t="str">
        <f aca="false">IF($A225="","",IF(N(O225)=0,"",$A225+VLOOKUP(N225,Schichten!$A$5:$G$24,3,FALSE())))</f>
        <v/>
      </c>
      <c r="R225" s="28" t="str">
        <f aca="false">IF(Q225="","",$A225+VLOOKUP(N225,Schichten!$A$5:$G$24,4,FALSE())+IF(VLOOKUP(N225,Schichten!$A$5:$G$24,4,FALSE())&lt;=VLOOKUP(N225,Schichten!$A$5:$G$24,3,FALSE()),1,0))</f>
        <v/>
      </c>
      <c r="S225" s="28" t="n">
        <f aca="false">IF($A225="","",IF(N(O224)&gt;0,R224,S224))</f>
        <v>46607.25</v>
      </c>
      <c r="T225" s="27" t="str">
        <f aca="false">IF(OR(Q225="",S225=""),"",(Q225-S225)*24)</f>
        <v/>
      </c>
      <c r="U225" s="21" t="n">
        <f aca="false">IF($A225="","",IF(N(O225)&gt;0,N(U224)+1,0))</f>
        <v>0</v>
      </c>
      <c r="V225" s="21" t="n">
        <f aca="false">IF($A225="","",IF(N(P225)&gt;0,N(V224)+1,0))</f>
        <v>0</v>
      </c>
      <c r="W225" s="21" t="str">
        <f aca="false">IF($A225="","",IF(WEEKDAY($A225,2)&lt;&gt;7,"",IF(AND(OR(Q225="",N(Q225)&gt;=$A225+16/24,N(R225)&lt;=$A225+6/24),OR(S225="",N(S225)&lt;=$A225+6/24)),1,0)))</f>
        <v/>
      </c>
      <c r="X225" s="26" t="str">
        <f aca="false">IF($A225="","",IF(INDEX(Muster!$C$8:$BF$8,1,MOD($A225-Einstellungen!$C$6,Einstellungen!$C$7)+1)="","-",INDEX(Muster!$C$8:$BF$8,1,MOD($A225-Einstellungen!$C$6,Einstellungen!$C$7)+1)))</f>
        <v>N</v>
      </c>
      <c r="Y225" s="27" t="n">
        <f aca="false">IF($A225="","",IFERROR(VLOOKUP(X225,Schichten!$A$5:$G$24,6,FALSE()),0))</f>
        <v>8</v>
      </c>
      <c r="Z225" s="27" t="n">
        <f aca="false">IF($A225="","",IFERROR(VLOOKUP(X225,Schichten!$A$5:$G$24,7,FALSE()),0))</f>
        <v>7</v>
      </c>
      <c r="AA225" s="28" t="n">
        <f aca="false">IF($A225="","",IF(N(Y225)=0,"",$A225+VLOOKUP(X225,Schichten!$A$5:$G$24,3,FALSE())))</f>
        <v>46608.9166666667</v>
      </c>
      <c r="AB225" s="28" t="n">
        <f aca="false">IF(AA225="","",$A225+VLOOKUP(X225,Schichten!$A$5:$G$24,4,FALSE())+IF(VLOOKUP(X225,Schichten!$A$5:$G$24,4,FALSE())&lt;=VLOOKUP(X225,Schichten!$A$5:$G$24,3,FALSE()),1,0))</f>
        <v>46609.25</v>
      </c>
      <c r="AC225" s="28" t="n">
        <f aca="false">IF($A225="","",IF(N(Y224)&gt;0,AB224,AC224))</f>
        <v>46608.25</v>
      </c>
      <c r="AD225" s="27" t="n">
        <f aca="false">IF(OR(AA225="",AC225=""),"",(AA225-AC225)*24)</f>
        <v>16</v>
      </c>
      <c r="AE225" s="21" t="n">
        <f aca="false">IF($A225="","",IF(N(Y225)&gt;0,N(AE224)+1,0))</f>
        <v>6</v>
      </c>
      <c r="AF225" s="21" t="n">
        <f aca="false">IF($A225="","",IF(N(Z225)&gt;0,N(AF224)+1,0))</f>
        <v>2</v>
      </c>
      <c r="AG225" s="21" t="str">
        <f aca="false">IF($A225="","",IF(WEEKDAY($A225,2)&lt;&gt;7,"",IF(AND(OR(AA225="",N(AA225)&gt;=$A225+16/24,N(AB225)&lt;=$A225+6/24),OR(AC225="",N(AC225)&lt;=$A225+6/24)),1,0)))</f>
        <v/>
      </c>
      <c r="AH225" s="26" t="str">
        <f aca="false">IF($A225="","",IF(INDEX(Muster!$C$9:$BF$9,1,MOD($A225-Einstellungen!$C$6,Einstellungen!$C$7)+1)="","-",INDEX(Muster!$C$9:$BF$9,1,MOD($A225-Einstellungen!$C$6,Einstellungen!$C$7)+1)))</f>
        <v>S</v>
      </c>
      <c r="AI225" s="27" t="n">
        <f aca="false">IF($A225="","",IFERROR(VLOOKUP(AH225,Schichten!$A$5:$G$24,6,FALSE()),0))</f>
        <v>8</v>
      </c>
      <c r="AJ225" s="27" t="n">
        <f aca="false">IF($A225="","",IFERROR(VLOOKUP(AH225,Schichten!$A$5:$G$24,7,FALSE()),0))</f>
        <v>0</v>
      </c>
      <c r="AK225" s="28" t="n">
        <f aca="false">IF($A225="","",IF(N(AI225)=0,"",$A225+VLOOKUP(AH225,Schichten!$A$5:$G$24,3,FALSE())))</f>
        <v>46608.5833333333</v>
      </c>
      <c r="AL225" s="28" t="n">
        <f aca="false">IF(AK225="","",$A225+VLOOKUP(AH225,Schichten!$A$5:$G$24,4,FALSE())+IF(VLOOKUP(AH225,Schichten!$A$5:$G$24,4,FALSE())&lt;=VLOOKUP(AH225,Schichten!$A$5:$G$24,3,FALSE()),1,0))</f>
        <v>46608.9166666667</v>
      </c>
      <c r="AM225" s="28" t="n">
        <f aca="false">IF($A225="","",IF(N(AI224)&gt;0,AL224,AM224))</f>
        <v>46607.9166666667</v>
      </c>
      <c r="AN225" s="27" t="n">
        <f aca="false">IF(OR(AK225="",AM225=""),"",(AK225-AM225)*24)</f>
        <v>16</v>
      </c>
      <c r="AO225" s="21" t="n">
        <f aca="false">IF($A225="","",IF(N(AI225)&gt;0,N(AO224)+1,0))</f>
        <v>4</v>
      </c>
      <c r="AP225" s="21" t="n">
        <f aca="false">IF($A225="","",IF(N(AJ225)&gt;0,N(AP224)+1,0))</f>
        <v>0</v>
      </c>
      <c r="AQ225" s="21" t="str">
        <f aca="false">IF($A225="","",IF(WEEKDAY($A225,2)&lt;&gt;7,"",IF(AND(OR(AK225="",N(AK225)&gt;=$A225+16/24,N(AL225)&lt;=$A225+6/24),OR(AM225="",N(AM225)&lt;=$A225+6/24)),1,0)))</f>
        <v/>
      </c>
      <c r="AR225" s="26" t="str">
        <f aca="false">IF($A225="","",IF(INDEX(Muster!$C$10:$BF$10,1,MOD($A225-Einstellungen!$C$6,Einstellungen!$C$7)+1)="","-",INDEX(Muster!$C$10:$BF$10,1,MOD($A225-Einstellungen!$C$6,Einstellungen!$C$7)+1)))</f>
        <v>-</v>
      </c>
      <c r="AS225" s="27" t="n">
        <f aca="false">IF($A225="","",IFERROR(VLOOKUP(AR225,Schichten!$A$5:$G$24,6,FALSE()),0))</f>
        <v>0</v>
      </c>
      <c r="AT225" s="27" t="n">
        <f aca="false">IF($A225="","",IFERROR(VLOOKUP(AR225,Schichten!$A$5:$G$24,7,FALSE()),0))</f>
        <v>0</v>
      </c>
      <c r="AU225" s="28" t="str">
        <f aca="false">IF($A225="","",IF(N(AS225)=0,"",$A225+VLOOKUP(AR225,Schichten!$A$5:$G$24,3,FALSE())))</f>
        <v/>
      </c>
      <c r="AV225" s="28" t="str">
        <f aca="false">IF(AU225="","",$A225+VLOOKUP(AR225,Schichten!$A$5:$G$24,4,FALSE())+IF(VLOOKUP(AR225,Schichten!$A$5:$G$24,4,FALSE())&lt;=VLOOKUP(AR225,Schichten!$A$5:$G$24,3,FALSE()),1,0))</f>
        <v/>
      </c>
      <c r="AW225" s="28" t="str">
        <f aca="false">IF($A225="","",IF(N(AS224)&gt;0,AV224,AW224))</f>
        <v/>
      </c>
      <c r="AX225" s="27" t="str">
        <f aca="false">IF(OR(AU225="",AW225=""),"",(AU225-AW225)*24)</f>
        <v/>
      </c>
      <c r="AY225" s="21" t="n">
        <f aca="false">IF($A225="","",IF(N(AS225)&gt;0,N(AY224)+1,0))</f>
        <v>0</v>
      </c>
      <c r="AZ225" s="21" t="n">
        <f aca="false">IF($A225="","",IF(N(AT225)&gt;0,N(AZ224)+1,0))</f>
        <v>0</v>
      </c>
      <c r="BA225" s="21" t="str">
        <f aca="false">IF($A225="","",IF(WEEKDAY($A225,2)&lt;&gt;7,"",IF(AND(OR(AU225="",N(AU225)&gt;=$A225+16/24,N(AV225)&lt;=$A225+6/24),OR(AW225="",N(AW225)&lt;=$A225+6/24)),1,0)))</f>
        <v/>
      </c>
    </row>
    <row r="226" customFormat="false" ht="15" hidden="false" customHeight="false" outlineLevel="0" collapsed="false">
      <c r="A226" s="25" t="n">
        <f aca="false">IF(YEAR(DATE(Einstellungen!$C$4,1,1)+221)=Einstellungen!$C$4,DATE(Einstellungen!$C$4,1,1)+221,"")</f>
        <v>46609</v>
      </c>
      <c r="B226" s="26" t="str">
        <f aca="false">IF($A226="","",CHOOSE(WEEKDAY($A226,2),"Mo","Di","Mi","Do","Fr","Sa","So"))</f>
        <v>Di</v>
      </c>
      <c r="C226" s="26" t="n">
        <f aca="false">IF($A226="","",MONTH($A226))</f>
        <v>8</v>
      </c>
      <c r="D226" s="26" t="str">
        <f aca="false">IF($A226="","",IF(INDEX(Muster!$C$6:$BF$6,1,MOD($A226-Einstellungen!$C$6,Einstellungen!$C$7)+1)="","-",INDEX(Muster!$C$6:$BF$6,1,MOD($A226-Einstellungen!$C$6,Einstellungen!$C$7)+1)))</f>
        <v>S</v>
      </c>
      <c r="E226" s="27" t="n">
        <f aca="false">IF($A226="","",IFERROR(VLOOKUP(D226,Schichten!$A$5:$G$24,6,FALSE()),0))</f>
        <v>8</v>
      </c>
      <c r="F226" s="27" t="n">
        <f aca="false">IF($A226="","",IFERROR(VLOOKUP(D226,Schichten!$A$5:$G$24,7,FALSE()),0))</f>
        <v>0</v>
      </c>
      <c r="G226" s="28" t="n">
        <f aca="false">IF($A226="","",IF(N(E226)=0,"",$A226+VLOOKUP(D226,Schichten!$A$5:$G$24,3,FALSE())))</f>
        <v>46609.5833333333</v>
      </c>
      <c r="H226" s="28" t="n">
        <f aca="false">IF(G226="","",$A226+VLOOKUP(D226,Schichten!$A$5:$G$24,4,FALSE())+IF(VLOOKUP(D226,Schichten!$A$5:$G$24,4,FALSE())&lt;=VLOOKUP(D226,Schichten!$A$5:$G$24,3,FALSE()),1,0))</f>
        <v>46609.9166666667</v>
      </c>
      <c r="I226" s="28" t="n">
        <f aca="false">IF($A226="","",IF(N(E225)&gt;0,H225,I225))</f>
        <v>46608.5833333333</v>
      </c>
      <c r="J226" s="27" t="n">
        <f aca="false">IF(OR(G226="",I226=""),"",(G226-I226)*24)</f>
        <v>24</v>
      </c>
      <c r="K226" s="21" t="n">
        <f aca="false">IF($A226="","",IF(N(E226)&gt;0,N(K225)+1,0))</f>
        <v>3</v>
      </c>
      <c r="L226" s="21" t="n">
        <f aca="false">IF($A226="","",IF(N(F226)&gt;0,N(L225)+1,0))</f>
        <v>0</v>
      </c>
      <c r="M226" s="21" t="str">
        <f aca="false">IF($A226="","",IF(WEEKDAY($A226,2)&lt;&gt;7,"",IF(AND(OR(G226="",N(G226)&gt;=$A226+16/24,N(H226)&lt;=$A226+6/24),OR(I226="",N(I226)&lt;=$A226+6/24)),1,0)))</f>
        <v/>
      </c>
      <c r="N226" s="26" t="str">
        <f aca="false">IF($A226="","",IF(INDEX(Muster!$C$7:$BF$7,1,MOD($A226-Einstellungen!$C$6,Einstellungen!$C$7)+1)="","-",INDEX(Muster!$C$7:$BF$7,1,MOD($A226-Einstellungen!$C$6,Einstellungen!$C$7)+1)))</f>
        <v>F</v>
      </c>
      <c r="O226" s="27" t="n">
        <f aca="false">IF($A226="","",IFERROR(VLOOKUP(N226,Schichten!$A$5:$G$24,6,FALSE()),0))</f>
        <v>8</v>
      </c>
      <c r="P226" s="27" t="n">
        <f aca="false">IF($A226="","",IFERROR(VLOOKUP(N226,Schichten!$A$5:$G$24,7,FALSE()),0))</f>
        <v>0</v>
      </c>
      <c r="Q226" s="28" t="n">
        <f aca="false">IF($A226="","",IF(N(O226)=0,"",$A226+VLOOKUP(N226,Schichten!$A$5:$G$24,3,FALSE())))</f>
        <v>46609.25</v>
      </c>
      <c r="R226" s="28" t="n">
        <f aca="false">IF(Q226="","",$A226+VLOOKUP(N226,Schichten!$A$5:$G$24,4,FALSE())+IF(VLOOKUP(N226,Schichten!$A$5:$G$24,4,FALSE())&lt;=VLOOKUP(N226,Schichten!$A$5:$G$24,3,FALSE()),1,0))</f>
        <v>46609.5833333333</v>
      </c>
      <c r="S226" s="28" t="n">
        <f aca="false">IF($A226="","",IF(N(O225)&gt;0,R225,S225))</f>
        <v>46607.25</v>
      </c>
      <c r="T226" s="27" t="n">
        <f aca="false">IF(OR(Q226="",S226=""),"",(Q226-S226)*24)</f>
        <v>48</v>
      </c>
      <c r="U226" s="21" t="n">
        <f aca="false">IF($A226="","",IF(N(O226)&gt;0,N(U225)+1,0))</f>
        <v>1</v>
      </c>
      <c r="V226" s="21" t="n">
        <f aca="false">IF($A226="","",IF(N(P226)&gt;0,N(V225)+1,0))</f>
        <v>0</v>
      </c>
      <c r="W226" s="21" t="str">
        <f aca="false">IF($A226="","",IF(WEEKDAY($A226,2)&lt;&gt;7,"",IF(AND(OR(Q226="",N(Q226)&gt;=$A226+16/24,N(R226)&lt;=$A226+6/24),OR(S226="",N(S226)&lt;=$A226+6/24)),1,0)))</f>
        <v/>
      </c>
      <c r="X226" s="26" t="str">
        <f aca="false">IF($A226="","",IF(INDEX(Muster!$C$8:$BF$8,1,MOD($A226-Einstellungen!$C$6,Einstellungen!$C$7)+1)="","-",INDEX(Muster!$C$8:$BF$8,1,MOD($A226-Einstellungen!$C$6,Einstellungen!$C$7)+1)))</f>
        <v>-</v>
      </c>
      <c r="Y226" s="27" t="n">
        <f aca="false">IF($A226="","",IFERROR(VLOOKUP(X226,Schichten!$A$5:$G$24,6,FALSE()),0))</f>
        <v>0</v>
      </c>
      <c r="Z226" s="27" t="n">
        <f aca="false">IF($A226="","",IFERROR(VLOOKUP(X226,Schichten!$A$5:$G$24,7,FALSE()),0))</f>
        <v>0</v>
      </c>
      <c r="AA226" s="28" t="str">
        <f aca="false">IF($A226="","",IF(N(Y226)=0,"",$A226+VLOOKUP(X226,Schichten!$A$5:$G$24,3,FALSE())))</f>
        <v/>
      </c>
      <c r="AB226" s="28" t="str">
        <f aca="false">IF(AA226="","",$A226+VLOOKUP(X226,Schichten!$A$5:$G$24,4,FALSE())+IF(VLOOKUP(X226,Schichten!$A$5:$G$24,4,FALSE())&lt;=VLOOKUP(X226,Schichten!$A$5:$G$24,3,FALSE()),1,0))</f>
        <v/>
      </c>
      <c r="AC226" s="28" t="n">
        <f aca="false">IF($A226="","",IF(N(Y225)&gt;0,AB225,AC225))</f>
        <v>46609.25</v>
      </c>
      <c r="AD226" s="27" t="str">
        <f aca="false">IF(OR(AA226="",AC226=""),"",(AA226-AC226)*24)</f>
        <v/>
      </c>
      <c r="AE226" s="21" t="n">
        <f aca="false">IF($A226="","",IF(N(Y226)&gt;0,N(AE225)+1,0))</f>
        <v>0</v>
      </c>
      <c r="AF226" s="21" t="n">
        <f aca="false">IF($A226="","",IF(N(Z226)&gt;0,N(AF225)+1,0))</f>
        <v>0</v>
      </c>
      <c r="AG226" s="21" t="str">
        <f aca="false">IF($A226="","",IF(WEEKDAY($A226,2)&lt;&gt;7,"",IF(AND(OR(AA226="",N(AA226)&gt;=$A226+16/24,N(AB226)&lt;=$A226+6/24),OR(AC226="",N(AC226)&lt;=$A226+6/24)),1,0)))</f>
        <v/>
      </c>
      <c r="AH226" s="26" t="str">
        <f aca="false">IF($A226="","",IF(INDEX(Muster!$C$9:$BF$9,1,MOD($A226-Einstellungen!$C$6,Einstellungen!$C$7)+1)="","-",INDEX(Muster!$C$9:$BF$9,1,MOD($A226-Einstellungen!$C$6,Einstellungen!$C$7)+1)))</f>
        <v>N</v>
      </c>
      <c r="AI226" s="27" t="n">
        <f aca="false">IF($A226="","",IFERROR(VLOOKUP(AH226,Schichten!$A$5:$G$24,6,FALSE()),0))</f>
        <v>8</v>
      </c>
      <c r="AJ226" s="27" t="n">
        <f aca="false">IF($A226="","",IFERROR(VLOOKUP(AH226,Schichten!$A$5:$G$24,7,FALSE()),0))</f>
        <v>7</v>
      </c>
      <c r="AK226" s="28" t="n">
        <f aca="false">IF($A226="","",IF(N(AI226)=0,"",$A226+VLOOKUP(AH226,Schichten!$A$5:$G$24,3,FALSE())))</f>
        <v>46609.9166666667</v>
      </c>
      <c r="AL226" s="28" t="n">
        <f aca="false">IF(AK226="","",$A226+VLOOKUP(AH226,Schichten!$A$5:$G$24,4,FALSE())+IF(VLOOKUP(AH226,Schichten!$A$5:$G$24,4,FALSE())&lt;=VLOOKUP(AH226,Schichten!$A$5:$G$24,3,FALSE()),1,0))</f>
        <v>46610.25</v>
      </c>
      <c r="AM226" s="28" t="n">
        <f aca="false">IF($A226="","",IF(N(AI225)&gt;0,AL225,AM225))</f>
        <v>46608.9166666667</v>
      </c>
      <c r="AN226" s="27" t="n">
        <f aca="false">IF(OR(AK226="",AM226=""),"",(AK226-AM226)*24)</f>
        <v>24</v>
      </c>
      <c r="AO226" s="21" t="n">
        <f aca="false">IF($A226="","",IF(N(AI226)&gt;0,N(AO225)+1,0))</f>
        <v>5</v>
      </c>
      <c r="AP226" s="21" t="n">
        <f aca="false">IF($A226="","",IF(N(AJ226)&gt;0,N(AP225)+1,0))</f>
        <v>1</v>
      </c>
      <c r="AQ226" s="21" t="str">
        <f aca="false">IF($A226="","",IF(WEEKDAY($A226,2)&lt;&gt;7,"",IF(AND(OR(AK226="",N(AK226)&gt;=$A226+16/24,N(AL226)&lt;=$A226+6/24),OR(AM226="",N(AM226)&lt;=$A226+6/24)),1,0)))</f>
        <v/>
      </c>
      <c r="AR226" s="26" t="str">
        <f aca="false">IF($A226="","",IF(INDEX(Muster!$C$10:$BF$10,1,MOD($A226-Einstellungen!$C$6,Einstellungen!$C$7)+1)="","-",INDEX(Muster!$C$10:$BF$10,1,MOD($A226-Einstellungen!$C$6,Einstellungen!$C$7)+1)))</f>
        <v>-</v>
      </c>
      <c r="AS226" s="27" t="n">
        <f aca="false">IF($A226="","",IFERROR(VLOOKUP(AR226,Schichten!$A$5:$G$24,6,FALSE()),0))</f>
        <v>0</v>
      </c>
      <c r="AT226" s="27" t="n">
        <f aca="false">IF($A226="","",IFERROR(VLOOKUP(AR226,Schichten!$A$5:$G$24,7,FALSE()),0))</f>
        <v>0</v>
      </c>
      <c r="AU226" s="28" t="str">
        <f aca="false">IF($A226="","",IF(N(AS226)=0,"",$A226+VLOOKUP(AR226,Schichten!$A$5:$G$24,3,FALSE())))</f>
        <v/>
      </c>
      <c r="AV226" s="28" t="str">
        <f aca="false">IF(AU226="","",$A226+VLOOKUP(AR226,Schichten!$A$5:$G$24,4,FALSE())+IF(VLOOKUP(AR226,Schichten!$A$5:$G$24,4,FALSE())&lt;=VLOOKUP(AR226,Schichten!$A$5:$G$24,3,FALSE()),1,0))</f>
        <v/>
      </c>
      <c r="AW226" s="28" t="str">
        <f aca="false">IF($A226="","",IF(N(AS225)&gt;0,AV225,AW225))</f>
        <v/>
      </c>
      <c r="AX226" s="27" t="str">
        <f aca="false">IF(OR(AU226="",AW226=""),"",(AU226-AW226)*24)</f>
        <v/>
      </c>
      <c r="AY226" s="21" t="n">
        <f aca="false">IF($A226="","",IF(N(AS226)&gt;0,N(AY225)+1,0))</f>
        <v>0</v>
      </c>
      <c r="AZ226" s="21" t="n">
        <f aca="false">IF($A226="","",IF(N(AT226)&gt;0,N(AZ225)+1,0))</f>
        <v>0</v>
      </c>
      <c r="BA226" s="21" t="str">
        <f aca="false">IF($A226="","",IF(WEEKDAY($A226,2)&lt;&gt;7,"",IF(AND(OR(AU226="",N(AU226)&gt;=$A226+16/24,N(AV226)&lt;=$A226+6/24),OR(AW226="",N(AW226)&lt;=$A226+6/24)),1,0)))</f>
        <v/>
      </c>
    </row>
    <row r="227" customFormat="false" ht="15" hidden="false" customHeight="false" outlineLevel="0" collapsed="false">
      <c r="A227" s="25" t="n">
        <f aca="false">IF(YEAR(DATE(Einstellungen!$C$4,1,1)+222)=Einstellungen!$C$4,DATE(Einstellungen!$C$4,1,1)+222,"")</f>
        <v>46610</v>
      </c>
      <c r="B227" s="26" t="str">
        <f aca="false">IF($A227="","",CHOOSE(WEEKDAY($A227,2),"Mo","Di","Mi","Do","Fr","Sa","So"))</f>
        <v>Mi</v>
      </c>
      <c r="C227" s="26" t="n">
        <f aca="false">IF($A227="","",MONTH($A227))</f>
        <v>8</v>
      </c>
      <c r="D227" s="26" t="str">
        <f aca="false">IF($A227="","",IF(INDEX(Muster!$C$6:$BF$6,1,MOD($A227-Einstellungen!$C$6,Einstellungen!$C$7)+1)="","-",INDEX(Muster!$C$6:$BF$6,1,MOD($A227-Einstellungen!$C$6,Einstellungen!$C$7)+1)))</f>
        <v>S</v>
      </c>
      <c r="E227" s="27" t="n">
        <f aca="false">IF($A227="","",IFERROR(VLOOKUP(D227,Schichten!$A$5:$G$24,6,FALSE()),0))</f>
        <v>8</v>
      </c>
      <c r="F227" s="27" t="n">
        <f aca="false">IF($A227="","",IFERROR(VLOOKUP(D227,Schichten!$A$5:$G$24,7,FALSE()),0))</f>
        <v>0</v>
      </c>
      <c r="G227" s="28" t="n">
        <f aca="false">IF($A227="","",IF(N(E227)=0,"",$A227+VLOOKUP(D227,Schichten!$A$5:$G$24,3,FALSE())))</f>
        <v>46610.5833333333</v>
      </c>
      <c r="H227" s="28" t="n">
        <f aca="false">IF(G227="","",$A227+VLOOKUP(D227,Schichten!$A$5:$G$24,4,FALSE())+IF(VLOOKUP(D227,Schichten!$A$5:$G$24,4,FALSE())&lt;=VLOOKUP(D227,Schichten!$A$5:$G$24,3,FALSE()),1,0))</f>
        <v>46610.9166666667</v>
      </c>
      <c r="I227" s="28" t="n">
        <f aca="false">IF($A227="","",IF(N(E226)&gt;0,H226,I226))</f>
        <v>46609.9166666667</v>
      </c>
      <c r="J227" s="27" t="n">
        <f aca="false">IF(OR(G227="",I227=""),"",(G227-I227)*24)</f>
        <v>16</v>
      </c>
      <c r="K227" s="21" t="n">
        <f aca="false">IF($A227="","",IF(N(E227)&gt;0,N(K226)+1,0))</f>
        <v>4</v>
      </c>
      <c r="L227" s="21" t="n">
        <f aca="false">IF($A227="","",IF(N(F227)&gt;0,N(L226)+1,0))</f>
        <v>0</v>
      </c>
      <c r="M227" s="21" t="str">
        <f aca="false">IF($A227="","",IF(WEEKDAY($A227,2)&lt;&gt;7,"",IF(AND(OR(G227="",N(G227)&gt;=$A227+16/24,N(H227)&lt;=$A227+6/24),OR(I227="",N(I227)&lt;=$A227+6/24)),1,0)))</f>
        <v/>
      </c>
      <c r="N227" s="26" t="str">
        <f aca="false">IF($A227="","",IF(INDEX(Muster!$C$7:$BF$7,1,MOD($A227-Einstellungen!$C$6,Einstellungen!$C$7)+1)="","-",INDEX(Muster!$C$7:$BF$7,1,MOD($A227-Einstellungen!$C$6,Einstellungen!$C$7)+1)))</f>
        <v>F</v>
      </c>
      <c r="O227" s="27" t="n">
        <f aca="false">IF($A227="","",IFERROR(VLOOKUP(N227,Schichten!$A$5:$G$24,6,FALSE()),0))</f>
        <v>8</v>
      </c>
      <c r="P227" s="27" t="n">
        <f aca="false">IF($A227="","",IFERROR(VLOOKUP(N227,Schichten!$A$5:$G$24,7,FALSE()),0))</f>
        <v>0</v>
      </c>
      <c r="Q227" s="28" t="n">
        <f aca="false">IF($A227="","",IF(N(O227)=0,"",$A227+VLOOKUP(N227,Schichten!$A$5:$G$24,3,FALSE())))</f>
        <v>46610.25</v>
      </c>
      <c r="R227" s="28" t="n">
        <f aca="false">IF(Q227="","",$A227+VLOOKUP(N227,Schichten!$A$5:$G$24,4,FALSE())+IF(VLOOKUP(N227,Schichten!$A$5:$G$24,4,FALSE())&lt;=VLOOKUP(N227,Schichten!$A$5:$G$24,3,FALSE()),1,0))</f>
        <v>46610.5833333333</v>
      </c>
      <c r="S227" s="28" t="n">
        <f aca="false">IF($A227="","",IF(N(O226)&gt;0,R226,S226))</f>
        <v>46609.5833333333</v>
      </c>
      <c r="T227" s="27" t="n">
        <f aca="false">IF(OR(Q227="",S227=""),"",(Q227-S227)*24)</f>
        <v>16</v>
      </c>
      <c r="U227" s="21" t="n">
        <f aca="false">IF($A227="","",IF(N(O227)&gt;0,N(U226)+1,0))</f>
        <v>2</v>
      </c>
      <c r="V227" s="21" t="n">
        <f aca="false">IF($A227="","",IF(N(P227)&gt;0,N(V226)+1,0))</f>
        <v>0</v>
      </c>
      <c r="W227" s="21" t="str">
        <f aca="false">IF($A227="","",IF(WEEKDAY($A227,2)&lt;&gt;7,"",IF(AND(OR(Q227="",N(Q227)&gt;=$A227+16/24,N(R227)&lt;=$A227+6/24),OR(S227="",N(S227)&lt;=$A227+6/24)),1,0)))</f>
        <v/>
      </c>
      <c r="X227" s="26" t="str">
        <f aca="false">IF($A227="","",IF(INDEX(Muster!$C$8:$BF$8,1,MOD($A227-Einstellungen!$C$6,Einstellungen!$C$7)+1)="","-",INDEX(Muster!$C$8:$BF$8,1,MOD($A227-Einstellungen!$C$6,Einstellungen!$C$7)+1)))</f>
        <v>-</v>
      </c>
      <c r="Y227" s="27" t="n">
        <f aca="false">IF($A227="","",IFERROR(VLOOKUP(X227,Schichten!$A$5:$G$24,6,FALSE()),0))</f>
        <v>0</v>
      </c>
      <c r="Z227" s="27" t="n">
        <f aca="false">IF($A227="","",IFERROR(VLOOKUP(X227,Schichten!$A$5:$G$24,7,FALSE()),0))</f>
        <v>0</v>
      </c>
      <c r="AA227" s="28" t="str">
        <f aca="false">IF($A227="","",IF(N(Y227)=0,"",$A227+VLOOKUP(X227,Schichten!$A$5:$G$24,3,FALSE())))</f>
        <v/>
      </c>
      <c r="AB227" s="28" t="str">
        <f aca="false">IF(AA227="","",$A227+VLOOKUP(X227,Schichten!$A$5:$G$24,4,FALSE())+IF(VLOOKUP(X227,Schichten!$A$5:$G$24,4,FALSE())&lt;=VLOOKUP(X227,Schichten!$A$5:$G$24,3,FALSE()),1,0))</f>
        <v/>
      </c>
      <c r="AC227" s="28" t="n">
        <f aca="false">IF($A227="","",IF(N(Y226)&gt;0,AB226,AC226))</f>
        <v>46609.25</v>
      </c>
      <c r="AD227" s="27" t="str">
        <f aca="false">IF(OR(AA227="",AC227=""),"",(AA227-AC227)*24)</f>
        <v/>
      </c>
      <c r="AE227" s="21" t="n">
        <f aca="false">IF($A227="","",IF(N(Y227)&gt;0,N(AE226)+1,0))</f>
        <v>0</v>
      </c>
      <c r="AF227" s="21" t="n">
        <f aca="false">IF($A227="","",IF(N(Z227)&gt;0,N(AF226)+1,0))</f>
        <v>0</v>
      </c>
      <c r="AG227" s="21" t="str">
        <f aca="false">IF($A227="","",IF(WEEKDAY($A227,2)&lt;&gt;7,"",IF(AND(OR(AA227="",N(AA227)&gt;=$A227+16/24,N(AB227)&lt;=$A227+6/24),OR(AC227="",N(AC227)&lt;=$A227+6/24)),1,0)))</f>
        <v/>
      </c>
      <c r="AH227" s="26" t="str">
        <f aca="false">IF($A227="","",IF(INDEX(Muster!$C$9:$BF$9,1,MOD($A227-Einstellungen!$C$6,Einstellungen!$C$7)+1)="","-",INDEX(Muster!$C$9:$BF$9,1,MOD($A227-Einstellungen!$C$6,Einstellungen!$C$7)+1)))</f>
        <v>N</v>
      </c>
      <c r="AI227" s="27" t="n">
        <f aca="false">IF($A227="","",IFERROR(VLOOKUP(AH227,Schichten!$A$5:$G$24,6,FALSE()),0))</f>
        <v>8</v>
      </c>
      <c r="AJ227" s="27" t="n">
        <f aca="false">IF($A227="","",IFERROR(VLOOKUP(AH227,Schichten!$A$5:$G$24,7,FALSE()),0))</f>
        <v>7</v>
      </c>
      <c r="AK227" s="28" t="n">
        <f aca="false">IF($A227="","",IF(N(AI227)=0,"",$A227+VLOOKUP(AH227,Schichten!$A$5:$G$24,3,FALSE())))</f>
        <v>46610.9166666667</v>
      </c>
      <c r="AL227" s="28" t="n">
        <f aca="false">IF(AK227="","",$A227+VLOOKUP(AH227,Schichten!$A$5:$G$24,4,FALSE())+IF(VLOOKUP(AH227,Schichten!$A$5:$G$24,4,FALSE())&lt;=VLOOKUP(AH227,Schichten!$A$5:$G$24,3,FALSE()),1,0))</f>
        <v>46611.25</v>
      </c>
      <c r="AM227" s="28" t="n">
        <f aca="false">IF($A227="","",IF(N(AI226)&gt;0,AL226,AM226))</f>
        <v>46610.25</v>
      </c>
      <c r="AN227" s="27" t="n">
        <f aca="false">IF(OR(AK227="",AM227=""),"",(AK227-AM227)*24)</f>
        <v>16</v>
      </c>
      <c r="AO227" s="21" t="n">
        <f aca="false">IF($A227="","",IF(N(AI227)&gt;0,N(AO226)+1,0))</f>
        <v>6</v>
      </c>
      <c r="AP227" s="21" t="n">
        <f aca="false">IF($A227="","",IF(N(AJ227)&gt;0,N(AP226)+1,0))</f>
        <v>2</v>
      </c>
      <c r="AQ227" s="21" t="str">
        <f aca="false">IF($A227="","",IF(WEEKDAY($A227,2)&lt;&gt;7,"",IF(AND(OR(AK227="",N(AK227)&gt;=$A227+16/24,N(AL227)&lt;=$A227+6/24),OR(AM227="",N(AM227)&lt;=$A227+6/24)),1,0)))</f>
        <v/>
      </c>
      <c r="AR227" s="26" t="str">
        <f aca="false">IF($A227="","",IF(INDEX(Muster!$C$10:$BF$10,1,MOD($A227-Einstellungen!$C$6,Einstellungen!$C$7)+1)="","-",INDEX(Muster!$C$10:$BF$10,1,MOD($A227-Einstellungen!$C$6,Einstellungen!$C$7)+1)))</f>
        <v>-</v>
      </c>
      <c r="AS227" s="27" t="n">
        <f aca="false">IF($A227="","",IFERROR(VLOOKUP(AR227,Schichten!$A$5:$G$24,6,FALSE()),0))</f>
        <v>0</v>
      </c>
      <c r="AT227" s="27" t="n">
        <f aca="false">IF($A227="","",IFERROR(VLOOKUP(AR227,Schichten!$A$5:$G$24,7,FALSE()),0))</f>
        <v>0</v>
      </c>
      <c r="AU227" s="28" t="str">
        <f aca="false">IF($A227="","",IF(N(AS227)=0,"",$A227+VLOOKUP(AR227,Schichten!$A$5:$G$24,3,FALSE())))</f>
        <v/>
      </c>
      <c r="AV227" s="28" t="str">
        <f aca="false">IF(AU227="","",$A227+VLOOKUP(AR227,Schichten!$A$5:$G$24,4,FALSE())+IF(VLOOKUP(AR227,Schichten!$A$5:$G$24,4,FALSE())&lt;=VLOOKUP(AR227,Schichten!$A$5:$G$24,3,FALSE()),1,0))</f>
        <v/>
      </c>
      <c r="AW227" s="28" t="str">
        <f aca="false">IF($A227="","",IF(N(AS226)&gt;0,AV226,AW226))</f>
        <v/>
      </c>
      <c r="AX227" s="27" t="str">
        <f aca="false">IF(OR(AU227="",AW227=""),"",(AU227-AW227)*24)</f>
        <v/>
      </c>
      <c r="AY227" s="21" t="n">
        <f aca="false">IF($A227="","",IF(N(AS227)&gt;0,N(AY226)+1,0))</f>
        <v>0</v>
      </c>
      <c r="AZ227" s="21" t="n">
        <f aca="false">IF($A227="","",IF(N(AT227)&gt;0,N(AZ226)+1,0))</f>
        <v>0</v>
      </c>
      <c r="BA227" s="21" t="str">
        <f aca="false">IF($A227="","",IF(WEEKDAY($A227,2)&lt;&gt;7,"",IF(AND(OR(AU227="",N(AU227)&gt;=$A227+16/24,N(AV227)&lt;=$A227+6/24),OR(AW227="",N(AW227)&lt;=$A227+6/24)),1,0)))</f>
        <v/>
      </c>
    </row>
    <row r="228" customFormat="false" ht="15" hidden="false" customHeight="false" outlineLevel="0" collapsed="false">
      <c r="A228" s="25" t="n">
        <f aca="false">IF(YEAR(DATE(Einstellungen!$C$4,1,1)+223)=Einstellungen!$C$4,DATE(Einstellungen!$C$4,1,1)+223,"")</f>
        <v>46611</v>
      </c>
      <c r="B228" s="26" t="str">
        <f aca="false">IF($A228="","",CHOOSE(WEEKDAY($A228,2),"Mo","Di","Mi","Do","Fr","Sa","So"))</f>
        <v>Do</v>
      </c>
      <c r="C228" s="26" t="n">
        <f aca="false">IF($A228="","",MONTH($A228))</f>
        <v>8</v>
      </c>
      <c r="D228" s="26" t="str">
        <f aca="false">IF($A228="","",IF(INDEX(Muster!$C$6:$BF$6,1,MOD($A228-Einstellungen!$C$6,Einstellungen!$C$7)+1)="","-",INDEX(Muster!$C$6:$BF$6,1,MOD($A228-Einstellungen!$C$6,Einstellungen!$C$7)+1)))</f>
        <v>N</v>
      </c>
      <c r="E228" s="27" t="n">
        <f aca="false">IF($A228="","",IFERROR(VLOOKUP(D228,Schichten!$A$5:$G$24,6,FALSE()),0))</f>
        <v>8</v>
      </c>
      <c r="F228" s="27" t="n">
        <f aca="false">IF($A228="","",IFERROR(VLOOKUP(D228,Schichten!$A$5:$G$24,7,FALSE()),0))</f>
        <v>7</v>
      </c>
      <c r="G228" s="28" t="n">
        <f aca="false">IF($A228="","",IF(N(E228)=0,"",$A228+VLOOKUP(D228,Schichten!$A$5:$G$24,3,FALSE())))</f>
        <v>46611.9166666667</v>
      </c>
      <c r="H228" s="28" t="n">
        <f aca="false">IF(G228="","",$A228+VLOOKUP(D228,Schichten!$A$5:$G$24,4,FALSE())+IF(VLOOKUP(D228,Schichten!$A$5:$G$24,4,FALSE())&lt;=VLOOKUP(D228,Schichten!$A$5:$G$24,3,FALSE()),1,0))</f>
        <v>46612.25</v>
      </c>
      <c r="I228" s="28" t="n">
        <f aca="false">IF($A228="","",IF(N(E227)&gt;0,H227,I227))</f>
        <v>46610.9166666667</v>
      </c>
      <c r="J228" s="27" t="n">
        <f aca="false">IF(OR(G228="",I228=""),"",(G228-I228)*24)</f>
        <v>24</v>
      </c>
      <c r="K228" s="21" t="n">
        <f aca="false">IF($A228="","",IF(N(E228)&gt;0,N(K227)+1,0))</f>
        <v>5</v>
      </c>
      <c r="L228" s="21" t="n">
        <f aca="false">IF($A228="","",IF(N(F228)&gt;0,N(L227)+1,0))</f>
        <v>1</v>
      </c>
      <c r="M228" s="21" t="str">
        <f aca="false">IF($A228="","",IF(WEEKDAY($A228,2)&lt;&gt;7,"",IF(AND(OR(G228="",N(G228)&gt;=$A228+16/24,N(H228)&lt;=$A228+6/24),OR(I228="",N(I228)&lt;=$A228+6/24)),1,0)))</f>
        <v/>
      </c>
      <c r="N228" s="26" t="str">
        <f aca="false">IF($A228="","",IF(INDEX(Muster!$C$7:$BF$7,1,MOD($A228-Einstellungen!$C$6,Einstellungen!$C$7)+1)="","-",INDEX(Muster!$C$7:$BF$7,1,MOD($A228-Einstellungen!$C$6,Einstellungen!$C$7)+1)))</f>
        <v>S</v>
      </c>
      <c r="O228" s="27" t="n">
        <f aca="false">IF($A228="","",IFERROR(VLOOKUP(N228,Schichten!$A$5:$G$24,6,FALSE()),0))</f>
        <v>8</v>
      </c>
      <c r="P228" s="27" t="n">
        <f aca="false">IF($A228="","",IFERROR(VLOOKUP(N228,Schichten!$A$5:$G$24,7,FALSE()),0))</f>
        <v>0</v>
      </c>
      <c r="Q228" s="28" t="n">
        <f aca="false">IF($A228="","",IF(N(O228)=0,"",$A228+VLOOKUP(N228,Schichten!$A$5:$G$24,3,FALSE())))</f>
        <v>46611.5833333333</v>
      </c>
      <c r="R228" s="28" t="n">
        <f aca="false">IF(Q228="","",$A228+VLOOKUP(N228,Schichten!$A$5:$G$24,4,FALSE())+IF(VLOOKUP(N228,Schichten!$A$5:$G$24,4,FALSE())&lt;=VLOOKUP(N228,Schichten!$A$5:$G$24,3,FALSE()),1,0))</f>
        <v>46611.9166666667</v>
      </c>
      <c r="S228" s="28" t="n">
        <f aca="false">IF($A228="","",IF(N(O227)&gt;0,R227,S227))</f>
        <v>46610.5833333333</v>
      </c>
      <c r="T228" s="27" t="n">
        <f aca="false">IF(OR(Q228="",S228=""),"",(Q228-S228)*24)</f>
        <v>24</v>
      </c>
      <c r="U228" s="21" t="n">
        <f aca="false">IF($A228="","",IF(N(O228)&gt;0,N(U227)+1,0))</f>
        <v>3</v>
      </c>
      <c r="V228" s="21" t="n">
        <f aca="false">IF($A228="","",IF(N(P228)&gt;0,N(V227)+1,0))</f>
        <v>0</v>
      </c>
      <c r="W228" s="21" t="str">
        <f aca="false">IF($A228="","",IF(WEEKDAY($A228,2)&lt;&gt;7,"",IF(AND(OR(Q228="",N(Q228)&gt;=$A228+16/24,N(R228)&lt;=$A228+6/24),OR(S228="",N(S228)&lt;=$A228+6/24)),1,0)))</f>
        <v/>
      </c>
      <c r="X228" s="26" t="str">
        <f aca="false">IF($A228="","",IF(INDEX(Muster!$C$8:$BF$8,1,MOD($A228-Einstellungen!$C$6,Einstellungen!$C$7)+1)="","-",INDEX(Muster!$C$8:$BF$8,1,MOD($A228-Einstellungen!$C$6,Einstellungen!$C$7)+1)))</f>
        <v>F</v>
      </c>
      <c r="Y228" s="27" t="n">
        <f aca="false">IF($A228="","",IFERROR(VLOOKUP(X228,Schichten!$A$5:$G$24,6,FALSE()),0))</f>
        <v>8</v>
      </c>
      <c r="Z228" s="27" t="n">
        <f aca="false">IF($A228="","",IFERROR(VLOOKUP(X228,Schichten!$A$5:$G$24,7,FALSE()),0))</f>
        <v>0</v>
      </c>
      <c r="AA228" s="28" t="n">
        <f aca="false">IF($A228="","",IF(N(Y228)=0,"",$A228+VLOOKUP(X228,Schichten!$A$5:$G$24,3,FALSE())))</f>
        <v>46611.25</v>
      </c>
      <c r="AB228" s="28" t="n">
        <f aca="false">IF(AA228="","",$A228+VLOOKUP(X228,Schichten!$A$5:$G$24,4,FALSE())+IF(VLOOKUP(X228,Schichten!$A$5:$G$24,4,FALSE())&lt;=VLOOKUP(X228,Schichten!$A$5:$G$24,3,FALSE()),1,0))</f>
        <v>46611.5833333333</v>
      </c>
      <c r="AC228" s="28" t="n">
        <f aca="false">IF($A228="","",IF(N(Y227)&gt;0,AB227,AC227))</f>
        <v>46609.25</v>
      </c>
      <c r="AD228" s="27" t="n">
        <f aca="false">IF(OR(AA228="",AC228=""),"",(AA228-AC228)*24)</f>
        <v>48</v>
      </c>
      <c r="AE228" s="21" t="n">
        <f aca="false">IF($A228="","",IF(N(Y228)&gt;0,N(AE227)+1,0))</f>
        <v>1</v>
      </c>
      <c r="AF228" s="21" t="n">
        <f aca="false">IF($A228="","",IF(N(Z228)&gt;0,N(AF227)+1,0))</f>
        <v>0</v>
      </c>
      <c r="AG228" s="21" t="str">
        <f aca="false">IF($A228="","",IF(WEEKDAY($A228,2)&lt;&gt;7,"",IF(AND(OR(AA228="",N(AA228)&gt;=$A228+16/24,N(AB228)&lt;=$A228+6/24),OR(AC228="",N(AC228)&lt;=$A228+6/24)),1,0)))</f>
        <v/>
      </c>
      <c r="AH228" s="26" t="str">
        <f aca="false">IF($A228="","",IF(INDEX(Muster!$C$9:$BF$9,1,MOD($A228-Einstellungen!$C$6,Einstellungen!$C$7)+1)="","-",INDEX(Muster!$C$9:$BF$9,1,MOD($A228-Einstellungen!$C$6,Einstellungen!$C$7)+1)))</f>
        <v>-</v>
      </c>
      <c r="AI228" s="27" t="n">
        <f aca="false">IF($A228="","",IFERROR(VLOOKUP(AH228,Schichten!$A$5:$G$24,6,FALSE()),0))</f>
        <v>0</v>
      </c>
      <c r="AJ228" s="27" t="n">
        <f aca="false">IF($A228="","",IFERROR(VLOOKUP(AH228,Schichten!$A$5:$G$24,7,FALSE()),0))</f>
        <v>0</v>
      </c>
      <c r="AK228" s="28" t="str">
        <f aca="false">IF($A228="","",IF(N(AI228)=0,"",$A228+VLOOKUP(AH228,Schichten!$A$5:$G$24,3,FALSE())))</f>
        <v/>
      </c>
      <c r="AL228" s="28" t="str">
        <f aca="false">IF(AK228="","",$A228+VLOOKUP(AH228,Schichten!$A$5:$G$24,4,FALSE())+IF(VLOOKUP(AH228,Schichten!$A$5:$G$24,4,FALSE())&lt;=VLOOKUP(AH228,Schichten!$A$5:$G$24,3,FALSE()),1,0))</f>
        <v/>
      </c>
      <c r="AM228" s="28" t="n">
        <f aca="false">IF($A228="","",IF(N(AI227)&gt;0,AL227,AM227))</f>
        <v>46611.25</v>
      </c>
      <c r="AN228" s="27" t="str">
        <f aca="false">IF(OR(AK228="",AM228=""),"",(AK228-AM228)*24)</f>
        <v/>
      </c>
      <c r="AO228" s="21" t="n">
        <f aca="false">IF($A228="","",IF(N(AI228)&gt;0,N(AO227)+1,0))</f>
        <v>0</v>
      </c>
      <c r="AP228" s="21" t="n">
        <f aca="false">IF($A228="","",IF(N(AJ228)&gt;0,N(AP227)+1,0))</f>
        <v>0</v>
      </c>
      <c r="AQ228" s="21" t="str">
        <f aca="false">IF($A228="","",IF(WEEKDAY($A228,2)&lt;&gt;7,"",IF(AND(OR(AK228="",N(AK228)&gt;=$A228+16/24,N(AL228)&lt;=$A228+6/24),OR(AM228="",N(AM228)&lt;=$A228+6/24)),1,0)))</f>
        <v/>
      </c>
      <c r="AR228" s="26" t="str">
        <f aca="false">IF($A228="","",IF(INDEX(Muster!$C$10:$BF$10,1,MOD($A228-Einstellungen!$C$6,Einstellungen!$C$7)+1)="","-",INDEX(Muster!$C$10:$BF$10,1,MOD($A228-Einstellungen!$C$6,Einstellungen!$C$7)+1)))</f>
        <v>-</v>
      </c>
      <c r="AS228" s="27" t="n">
        <f aca="false">IF($A228="","",IFERROR(VLOOKUP(AR228,Schichten!$A$5:$G$24,6,FALSE()),0))</f>
        <v>0</v>
      </c>
      <c r="AT228" s="27" t="n">
        <f aca="false">IF($A228="","",IFERROR(VLOOKUP(AR228,Schichten!$A$5:$G$24,7,FALSE()),0))</f>
        <v>0</v>
      </c>
      <c r="AU228" s="28" t="str">
        <f aca="false">IF($A228="","",IF(N(AS228)=0,"",$A228+VLOOKUP(AR228,Schichten!$A$5:$G$24,3,FALSE())))</f>
        <v/>
      </c>
      <c r="AV228" s="28" t="str">
        <f aca="false">IF(AU228="","",$A228+VLOOKUP(AR228,Schichten!$A$5:$G$24,4,FALSE())+IF(VLOOKUP(AR228,Schichten!$A$5:$G$24,4,FALSE())&lt;=VLOOKUP(AR228,Schichten!$A$5:$G$24,3,FALSE()),1,0))</f>
        <v/>
      </c>
      <c r="AW228" s="28" t="str">
        <f aca="false">IF($A228="","",IF(N(AS227)&gt;0,AV227,AW227))</f>
        <v/>
      </c>
      <c r="AX228" s="27" t="str">
        <f aca="false">IF(OR(AU228="",AW228=""),"",(AU228-AW228)*24)</f>
        <v/>
      </c>
      <c r="AY228" s="21" t="n">
        <f aca="false">IF($A228="","",IF(N(AS228)&gt;0,N(AY227)+1,0))</f>
        <v>0</v>
      </c>
      <c r="AZ228" s="21" t="n">
        <f aca="false">IF($A228="","",IF(N(AT228)&gt;0,N(AZ227)+1,0))</f>
        <v>0</v>
      </c>
      <c r="BA228" s="21" t="str">
        <f aca="false">IF($A228="","",IF(WEEKDAY($A228,2)&lt;&gt;7,"",IF(AND(OR(AU228="",N(AU228)&gt;=$A228+16/24,N(AV228)&lt;=$A228+6/24),OR(AW228="",N(AW228)&lt;=$A228+6/24)),1,0)))</f>
        <v/>
      </c>
    </row>
    <row r="229" customFormat="false" ht="15" hidden="false" customHeight="false" outlineLevel="0" collapsed="false">
      <c r="A229" s="25" t="n">
        <f aca="false">IF(YEAR(DATE(Einstellungen!$C$4,1,1)+224)=Einstellungen!$C$4,DATE(Einstellungen!$C$4,1,1)+224,"")</f>
        <v>46612</v>
      </c>
      <c r="B229" s="26" t="str">
        <f aca="false">IF($A229="","",CHOOSE(WEEKDAY($A229,2),"Mo","Di","Mi","Do","Fr","Sa","So"))</f>
        <v>Fr</v>
      </c>
      <c r="C229" s="26" t="n">
        <f aca="false">IF($A229="","",MONTH($A229))</f>
        <v>8</v>
      </c>
      <c r="D229" s="26" t="str">
        <f aca="false">IF($A229="","",IF(INDEX(Muster!$C$6:$BF$6,1,MOD($A229-Einstellungen!$C$6,Einstellungen!$C$7)+1)="","-",INDEX(Muster!$C$6:$BF$6,1,MOD($A229-Einstellungen!$C$6,Einstellungen!$C$7)+1)))</f>
        <v>N</v>
      </c>
      <c r="E229" s="27" t="n">
        <f aca="false">IF($A229="","",IFERROR(VLOOKUP(D229,Schichten!$A$5:$G$24,6,FALSE()),0))</f>
        <v>8</v>
      </c>
      <c r="F229" s="27" t="n">
        <f aca="false">IF($A229="","",IFERROR(VLOOKUP(D229,Schichten!$A$5:$G$24,7,FALSE()),0))</f>
        <v>7</v>
      </c>
      <c r="G229" s="28" t="n">
        <f aca="false">IF($A229="","",IF(N(E229)=0,"",$A229+VLOOKUP(D229,Schichten!$A$5:$G$24,3,FALSE())))</f>
        <v>46612.9166666667</v>
      </c>
      <c r="H229" s="28" t="n">
        <f aca="false">IF(G229="","",$A229+VLOOKUP(D229,Schichten!$A$5:$G$24,4,FALSE())+IF(VLOOKUP(D229,Schichten!$A$5:$G$24,4,FALSE())&lt;=VLOOKUP(D229,Schichten!$A$5:$G$24,3,FALSE()),1,0))</f>
        <v>46613.25</v>
      </c>
      <c r="I229" s="28" t="n">
        <f aca="false">IF($A229="","",IF(N(E228)&gt;0,H228,I228))</f>
        <v>46612.25</v>
      </c>
      <c r="J229" s="27" t="n">
        <f aca="false">IF(OR(G229="",I229=""),"",(G229-I229)*24)</f>
        <v>16</v>
      </c>
      <c r="K229" s="21" t="n">
        <f aca="false">IF($A229="","",IF(N(E229)&gt;0,N(K228)+1,0))</f>
        <v>6</v>
      </c>
      <c r="L229" s="21" t="n">
        <f aca="false">IF($A229="","",IF(N(F229)&gt;0,N(L228)+1,0))</f>
        <v>2</v>
      </c>
      <c r="M229" s="21" t="str">
        <f aca="false">IF($A229="","",IF(WEEKDAY($A229,2)&lt;&gt;7,"",IF(AND(OR(G229="",N(G229)&gt;=$A229+16/24,N(H229)&lt;=$A229+6/24),OR(I229="",N(I229)&lt;=$A229+6/24)),1,0)))</f>
        <v/>
      </c>
      <c r="N229" s="26" t="str">
        <f aca="false">IF($A229="","",IF(INDEX(Muster!$C$7:$BF$7,1,MOD($A229-Einstellungen!$C$6,Einstellungen!$C$7)+1)="","-",INDEX(Muster!$C$7:$BF$7,1,MOD($A229-Einstellungen!$C$6,Einstellungen!$C$7)+1)))</f>
        <v>S</v>
      </c>
      <c r="O229" s="27" t="n">
        <f aca="false">IF($A229="","",IFERROR(VLOOKUP(N229,Schichten!$A$5:$G$24,6,FALSE()),0))</f>
        <v>8</v>
      </c>
      <c r="P229" s="27" t="n">
        <f aca="false">IF($A229="","",IFERROR(VLOOKUP(N229,Schichten!$A$5:$G$24,7,FALSE()),0))</f>
        <v>0</v>
      </c>
      <c r="Q229" s="28" t="n">
        <f aca="false">IF($A229="","",IF(N(O229)=0,"",$A229+VLOOKUP(N229,Schichten!$A$5:$G$24,3,FALSE())))</f>
        <v>46612.5833333333</v>
      </c>
      <c r="R229" s="28" t="n">
        <f aca="false">IF(Q229="","",$A229+VLOOKUP(N229,Schichten!$A$5:$G$24,4,FALSE())+IF(VLOOKUP(N229,Schichten!$A$5:$G$24,4,FALSE())&lt;=VLOOKUP(N229,Schichten!$A$5:$G$24,3,FALSE()),1,0))</f>
        <v>46612.9166666667</v>
      </c>
      <c r="S229" s="28" t="n">
        <f aca="false">IF($A229="","",IF(N(O228)&gt;0,R228,S228))</f>
        <v>46611.9166666667</v>
      </c>
      <c r="T229" s="27" t="n">
        <f aca="false">IF(OR(Q229="",S229=""),"",(Q229-S229)*24)</f>
        <v>16</v>
      </c>
      <c r="U229" s="21" t="n">
        <f aca="false">IF($A229="","",IF(N(O229)&gt;0,N(U228)+1,0))</f>
        <v>4</v>
      </c>
      <c r="V229" s="21" t="n">
        <f aca="false">IF($A229="","",IF(N(P229)&gt;0,N(V228)+1,0))</f>
        <v>0</v>
      </c>
      <c r="W229" s="21" t="str">
        <f aca="false">IF($A229="","",IF(WEEKDAY($A229,2)&lt;&gt;7,"",IF(AND(OR(Q229="",N(Q229)&gt;=$A229+16/24,N(R229)&lt;=$A229+6/24),OR(S229="",N(S229)&lt;=$A229+6/24)),1,0)))</f>
        <v/>
      </c>
      <c r="X229" s="26" t="str">
        <f aca="false">IF($A229="","",IF(INDEX(Muster!$C$8:$BF$8,1,MOD($A229-Einstellungen!$C$6,Einstellungen!$C$7)+1)="","-",INDEX(Muster!$C$8:$BF$8,1,MOD($A229-Einstellungen!$C$6,Einstellungen!$C$7)+1)))</f>
        <v>F</v>
      </c>
      <c r="Y229" s="27" t="n">
        <f aca="false">IF($A229="","",IFERROR(VLOOKUP(X229,Schichten!$A$5:$G$24,6,FALSE()),0))</f>
        <v>8</v>
      </c>
      <c r="Z229" s="27" t="n">
        <f aca="false">IF($A229="","",IFERROR(VLOOKUP(X229,Schichten!$A$5:$G$24,7,FALSE()),0))</f>
        <v>0</v>
      </c>
      <c r="AA229" s="28" t="n">
        <f aca="false">IF($A229="","",IF(N(Y229)=0,"",$A229+VLOOKUP(X229,Schichten!$A$5:$G$24,3,FALSE())))</f>
        <v>46612.25</v>
      </c>
      <c r="AB229" s="28" t="n">
        <f aca="false">IF(AA229="","",$A229+VLOOKUP(X229,Schichten!$A$5:$G$24,4,FALSE())+IF(VLOOKUP(X229,Schichten!$A$5:$G$24,4,FALSE())&lt;=VLOOKUP(X229,Schichten!$A$5:$G$24,3,FALSE()),1,0))</f>
        <v>46612.5833333333</v>
      </c>
      <c r="AC229" s="28" t="n">
        <f aca="false">IF($A229="","",IF(N(Y228)&gt;0,AB228,AC228))</f>
        <v>46611.5833333333</v>
      </c>
      <c r="AD229" s="27" t="n">
        <f aca="false">IF(OR(AA229="",AC229=""),"",(AA229-AC229)*24)</f>
        <v>16</v>
      </c>
      <c r="AE229" s="21" t="n">
        <f aca="false">IF($A229="","",IF(N(Y229)&gt;0,N(AE228)+1,0))</f>
        <v>2</v>
      </c>
      <c r="AF229" s="21" t="n">
        <f aca="false">IF($A229="","",IF(N(Z229)&gt;0,N(AF228)+1,0))</f>
        <v>0</v>
      </c>
      <c r="AG229" s="21" t="str">
        <f aca="false">IF($A229="","",IF(WEEKDAY($A229,2)&lt;&gt;7,"",IF(AND(OR(AA229="",N(AA229)&gt;=$A229+16/24,N(AB229)&lt;=$A229+6/24),OR(AC229="",N(AC229)&lt;=$A229+6/24)),1,0)))</f>
        <v/>
      </c>
      <c r="AH229" s="26" t="str">
        <f aca="false">IF($A229="","",IF(INDEX(Muster!$C$9:$BF$9,1,MOD($A229-Einstellungen!$C$6,Einstellungen!$C$7)+1)="","-",INDEX(Muster!$C$9:$BF$9,1,MOD($A229-Einstellungen!$C$6,Einstellungen!$C$7)+1)))</f>
        <v>-</v>
      </c>
      <c r="AI229" s="27" t="n">
        <f aca="false">IF($A229="","",IFERROR(VLOOKUP(AH229,Schichten!$A$5:$G$24,6,FALSE()),0))</f>
        <v>0</v>
      </c>
      <c r="AJ229" s="27" t="n">
        <f aca="false">IF($A229="","",IFERROR(VLOOKUP(AH229,Schichten!$A$5:$G$24,7,FALSE()),0))</f>
        <v>0</v>
      </c>
      <c r="AK229" s="28" t="str">
        <f aca="false">IF($A229="","",IF(N(AI229)=0,"",$A229+VLOOKUP(AH229,Schichten!$A$5:$G$24,3,FALSE())))</f>
        <v/>
      </c>
      <c r="AL229" s="28" t="str">
        <f aca="false">IF(AK229="","",$A229+VLOOKUP(AH229,Schichten!$A$5:$G$24,4,FALSE())+IF(VLOOKUP(AH229,Schichten!$A$5:$G$24,4,FALSE())&lt;=VLOOKUP(AH229,Schichten!$A$5:$G$24,3,FALSE()),1,0))</f>
        <v/>
      </c>
      <c r="AM229" s="28" t="n">
        <f aca="false">IF($A229="","",IF(N(AI228)&gt;0,AL228,AM228))</f>
        <v>46611.25</v>
      </c>
      <c r="AN229" s="27" t="str">
        <f aca="false">IF(OR(AK229="",AM229=""),"",(AK229-AM229)*24)</f>
        <v/>
      </c>
      <c r="AO229" s="21" t="n">
        <f aca="false">IF($A229="","",IF(N(AI229)&gt;0,N(AO228)+1,0))</f>
        <v>0</v>
      </c>
      <c r="AP229" s="21" t="n">
        <f aca="false">IF($A229="","",IF(N(AJ229)&gt;0,N(AP228)+1,0))</f>
        <v>0</v>
      </c>
      <c r="AQ229" s="21" t="str">
        <f aca="false">IF($A229="","",IF(WEEKDAY($A229,2)&lt;&gt;7,"",IF(AND(OR(AK229="",N(AK229)&gt;=$A229+16/24,N(AL229)&lt;=$A229+6/24),OR(AM229="",N(AM229)&lt;=$A229+6/24)),1,0)))</f>
        <v/>
      </c>
      <c r="AR229" s="26" t="str">
        <f aca="false">IF($A229="","",IF(INDEX(Muster!$C$10:$BF$10,1,MOD($A229-Einstellungen!$C$6,Einstellungen!$C$7)+1)="","-",INDEX(Muster!$C$10:$BF$10,1,MOD($A229-Einstellungen!$C$6,Einstellungen!$C$7)+1)))</f>
        <v>-</v>
      </c>
      <c r="AS229" s="27" t="n">
        <f aca="false">IF($A229="","",IFERROR(VLOOKUP(AR229,Schichten!$A$5:$G$24,6,FALSE()),0))</f>
        <v>0</v>
      </c>
      <c r="AT229" s="27" t="n">
        <f aca="false">IF($A229="","",IFERROR(VLOOKUP(AR229,Schichten!$A$5:$G$24,7,FALSE()),0))</f>
        <v>0</v>
      </c>
      <c r="AU229" s="28" t="str">
        <f aca="false">IF($A229="","",IF(N(AS229)=0,"",$A229+VLOOKUP(AR229,Schichten!$A$5:$G$24,3,FALSE())))</f>
        <v/>
      </c>
      <c r="AV229" s="28" t="str">
        <f aca="false">IF(AU229="","",$A229+VLOOKUP(AR229,Schichten!$A$5:$G$24,4,FALSE())+IF(VLOOKUP(AR229,Schichten!$A$5:$G$24,4,FALSE())&lt;=VLOOKUP(AR229,Schichten!$A$5:$G$24,3,FALSE()),1,0))</f>
        <v/>
      </c>
      <c r="AW229" s="28" t="str">
        <f aca="false">IF($A229="","",IF(N(AS228)&gt;0,AV228,AW228))</f>
        <v/>
      </c>
      <c r="AX229" s="27" t="str">
        <f aca="false">IF(OR(AU229="",AW229=""),"",(AU229-AW229)*24)</f>
        <v/>
      </c>
      <c r="AY229" s="21" t="n">
        <f aca="false">IF($A229="","",IF(N(AS229)&gt;0,N(AY228)+1,0))</f>
        <v>0</v>
      </c>
      <c r="AZ229" s="21" t="n">
        <f aca="false">IF($A229="","",IF(N(AT229)&gt;0,N(AZ228)+1,0))</f>
        <v>0</v>
      </c>
      <c r="BA229" s="21" t="str">
        <f aca="false">IF($A229="","",IF(WEEKDAY($A229,2)&lt;&gt;7,"",IF(AND(OR(AU229="",N(AU229)&gt;=$A229+16/24,N(AV229)&lt;=$A229+6/24),OR(AW229="",N(AW229)&lt;=$A229+6/24)),1,0)))</f>
        <v/>
      </c>
    </row>
    <row r="230" customFormat="false" ht="15" hidden="false" customHeight="false" outlineLevel="0" collapsed="false">
      <c r="A230" s="25" t="n">
        <f aca="false">IF(YEAR(DATE(Einstellungen!$C$4,1,1)+225)=Einstellungen!$C$4,DATE(Einstellungen!$C$4,1,1)+225,"")</f>
        <v>46613</v>
      </c>
      <c r="B230" s="26" t="str">
        <f aca="false">IF($A230="","",CHOOSE(WEEKDAY($A230,2),"Mo","Di","Mi","Do","Fr","Sa","So"))</f>
        <v>Sa</v>
      </c>
      <c r="C230" s="26" t="n">
        <f aca="false">IF($A230="","",MONTH($A230))</f>
        <v>8</v>
      </c>
      <c r="D230" s="26" t="str">
        <f aca="false">IF($A230="","",IF(INDEX(Muster!$C$6:$BF$6,1,MOD($A230-Einstellungen!$C$6,Einstellungen!$C$7)+1)="","-",INDEX(Muster!$C$6:$BF$6,1,MOD($A230-Einstellungen!$C$6,Einstellungen!$C$7)+1)))</f>
        <v>-</v>
      </c>
      <c r="E230" s="27" t="n">
        <f aca="false">IF($A230="","",IFERROR(VLOOKUP(D230,Schichten!$A$5:$G$24,6,FALSE()),0))</f>
        <v>0</v>
      </c>
      <c r="F230" s="27" t="n">
        <f aca="false">IF($A230="","",IFERROR(VLOOKUP(D230,Schichten!$A$5:$G$24,7,FALSE()),0))</f>
        <v>0</v>
      </c>
      <c r="G230" s="28" t="str">
        <f aca="false">IF($A230="","",IF(N(E230)=0,"",$A230+VLOOKUP(D230,Schichten!$A$5:$G$24,3,FALSE())))</f>
        <v/>
      </c>
      <c r="H230" s="28" t="str">
        <f aca="false">IF(G230="","",$A230+VLOOKUP(D230,Schichten!$A$5:$G$24,4,FALSE())+IF(VLOOKUP(D230,Schichten!$A$5:$G$24,4,FALSE())&lt;=VLOOKUP(D230,Schichten!$A$5:$G$24,3,FALSE()),1,0))</f>
        <v/>
      </c>
      <c r="I230" s="28" t="n">
        <f aca="false">IF($A230="","",IF(N(E229)&gt;0,H229,I229))</f>
        <v>46613.25</v>
      </c>
      <c r="J230" s="27" t="str">
        <f aca="false">IF(OR(G230="",I230=""),"",(G230-I230)*24)</f>
        <v/>
      </c>
      <c r="K230" s="21" t="n">
        <f aca="false">IF($A230="","",IF(N(E230)&gt;0,N(K229)+1,0))</f>
        <v>0</v>
      </c>
      <c r="L230" s="21" t="n">
        <f aca="false">IF($A230="","",IF(N(F230)&gt;0,N(L229)+1,0))</f>
        <v>0</v>
      </c>
      <c r="M230" s="21" t="str">
        <f aca="false">IF($A230="","",IF(WEEKDAY($A230,2)&lt;&gt;7,"",IF(AND(OR(G230="",N(G230)&gt;=$A230+16/24,N(H230)&lt;=$A230+6/24),OR(I230="",N(I230)&lt;=$A230+6/24)),1,0)))</f>
        <v/>
      </c>
      <c r="N230" s="26" t="str">
        <f aca="false">IF($A230="","",IF(INDEX(Muster!$C$7:$BF$7,1,MOD($A230-Einstellungen!$C$6,Einstellungen!$C$7)+1)="","-",INDEX(Muster!$C$7:$BF$7,1,MOD($A230-Einstellungen!$C$6,Einstellungen!$C$7)+1)))</f>
        <v>N</v>
      </c>
      <c r="O230" s="27" t="n">
        <f aca="false">IF($A230="","",IFERROR(VLOOKUP(N230,Schichten!$A$5:$G$24,6,FALSE()),0))</f>
        <v>8</v>
      </c>
      <c r="P230" s="27" t="n">
        <f aca="false">IF($A230="","",IFERROR(VLOOKUP(N230,Schichten!$A$5:$G$24,7,FALSE()),0))</f>
        <v>7</v>
      </c>
      <c r="Q230" s="28" t="n">
        <f aca="false">IF($A230="","",IF(N(O230)=0,"",$A230+VLOOKUP(N230,Schichten!$A$5:$G$24,3,FALSE())))</f>
        <v>46613.9166666667</v>
      </c>
      <c r="R230" s="28" t="n">
        <f aca="false">IF(Q230="","",$A230+VLOOKUP(N230,Schichten!$A$5:$G$24,4,FALSE())+IF(VLOOKUP(N230,Schichten!$A$5:$G$24,4,FALSE())&lt;=VLOOKUP(N230,Schichten!$A$5:$G$24,3,FALSE()),1,0))</f>
        <v>46614.25</v>
      </c>
      <c r="S230" s="28" t="n">
        <f aca="false">IF($A230="","",IF(N(O229)&gt;0,R229,S229))</f>
        <v>46612.9166666667</v>
      </c>
      <c r="T230" s="27" t="n">
        <f aca="false">IF(OR(Q230="",S230=""),"",(Q230-S230)*24)</f>
        <v>24</v>
      </c>
      <c r="U230" s="21" t="n">
        <f aca="false">IF($A230="","",IF(N(O230)&gt;0,N(U229)+1,0))</f>
        <v>5</v>
      </c>
      <c r="V230" s="21" t="n">
        <f aca="false">IF($A230="","",IF(N(P230)&gt;0,N(V229)+1,0))</f>
        <v>1</v>
      </c>
      <c r="W230" s="21" t="str">
        <f aca="false">IF($A230="","",IF(WEEKDAY($A230,2)&lt;&gt;7,"",IF(AND(OR(Q230="",N(Q230)&gt;=$A230+16/24,N(R230)&lt;=$A230+6/24),OR(S230="",N(S230)&lt;=$A230+6/24)),1,0)))</f>
        <v/>
      </c>
      <c r="X230" s="26" t="str">
        <f aca="false">IF($A230="","",IF(INDEX(Muster!$C$8:$BF$8,1,MOD($A230-Einstellungen!$C$6,Einstellungen!$C$7)+1)="","-",INDEX(Muster!$C$8:$BF$8,1,MOD($A230-Einstellungen!$C$6,Einstellungen!$C$7)+1)))</f>
        <v>S</v>
      </c>
      <c r="Y230" s="27" t="n">
        <f aca="false">IF($A230="","",IFERROR(VLOOKUP(X230,Schichten!$A$5:$G$24,6,FALSE()),0))</f>
        <v>8</v>
      </c>
      <c r="Z230" s="27" t="n">
        <f aca="false">IF($A230="","",IFERROR(VLOOKUP(X230,Schichten!$A$5:$G$24,7,FALSE()),0))</f>
        <v>0</v>
      </c>
      <c r="AA230" s="28" t="n">
        <f aca="false">IF($A230="","",IF(N(Y230)=0,"",$A230+VLOOKUP(X230,Schichten!$A$5:$G$24,3,FALSE())))</f>
        <v>46613.5833333333</v>
      </c>
      <c r="AB230" s="28" t="n">
        <f aca="false">IF(AA230="","",$A230+VLOOKUP(X230,Schichten!$A$5:$G$24,4,FALSE())+IF(VLOOKUP(X230,Schichten!$A$5:$G$24,4,FALSE())&lt;=VLOOKUP(X230,Schichten!$A$5:$G$24,3,FALSE()),1,0))</f>
        <v>46613.9166666667</v>
      </c>
      <c r="AC230" s="28" t="n">
        <f aca="false">IF($A230="","",IF(N(Y229)&gt;0,AB229,AC229))</f>
        <v>46612.5833333333</v>
      </c>
      <c r="AD230" s="27" t="n">
        <f aca="false">IF(OR(AA230="",AC230=""),"",(AA230-AC230)*24)</f>
        <v>24</v>
      </c>
      <c r="AE230" s="21" t="n">
        <f aca="false">IF($A230="","",IF(N(Y230)&gt;0,N(AE229)+1,0))</f>
        <v>3</v>
      </c>
      <c r="AF230" s="21" t="n">
        <f aca="false">IF($A230="","",IF(N(Z230)&gt;0,N(AF229)+1,0))</f>
        <v>0</v>
      </c>
      <c r="AG230" s="21" t="str">
        <f aca="false">IF($A230="","",IF(WEEKDAY($A230,2)&lt;&gt;7,"",IF(AND(OR(AA230="",N(AA230)&gt;=$A230+16/24,N(AB230)&lt;=$A230+6/24),OR(AC230="",N(AC230)&lt;=$A230+6/24)),1,0)))</f>
        <v/>
      </c>
      <c r="AH230" s="26" t="str">
        <f aca="false">IF($A230="","",IF(INDEX(Muster!$C$9:$BF$9,1,MOD($A230-Einstellungen!$C$6,Einstellungen!$C$7)+1)="","-",INDEX(Muster!$C$9:$BF$9,1,MOD($A230-Einstellungen!$C$6,Einstellungen!$C$7)+1)))</f>
        <v>F</v>
      </c>
      <c r="AI230" s="27" t="n">
        <f aca="false">IF($A230="","",IFERROR(VLOOKUP(AH230,Schichten!$A$5:$G$24,6,FALSE()),0))</f>
        <v>8</v>
      </c>
      <c r="AJ230" s="27" t="n">
        <f aca="false">IF($A230="","",IFERROR(VLOOKUP(AH230,Schichten!$A$5:$G$24,7,FALSE()),0))</f>
        <v>0</v>
      </c>
      <c r="AK230" s="28" t="n">
        <f aca="false">IF($A230="","",IF(N(AI230)=0,"",$A230+VLOOKUP(AH230,Schichten!$A$5:$G$24,3,FALSE())))</f>
        <v>46613.25</v>
      </c>
      <c r="AL230" s="28" t="n">
        <f aca="false">IF(AK230="","",$A230+VLOOKUP(AH230,Schichten!$A$5:$G$24,4,FALSE())+IF(VLOOKUP(AH230,Schichten!$A$5:$G$24,4,FALSE())&lt;=VLOOKUP(AH230,Schichten!$A$5:$G$24,3,FALSE()),1,0))</f>
        <v>46613.5833333333</v>
      </c>
      <c r="AM230" s="28" t="n">
        <f aca="false">IF($A230="","",IF(N(AI229)&gt;0,AL229,AM229))</f>
        <v>46611.25</v>
      </c>
      <c r="AN230" s="27" t="n">
        <f aca="false">IF(OR(AK230="",AM230=""),"",(AK230-AM230)*24)</f>
        <v>48</v>
      </c>
      <c r="AO230" s="21" t="n">
        <f aca="false">IF($A230="","",IF(N(AI230)&gt;0,N(AO229)+1,0))</f>
        <v>1</v>
      </c>
      <c r="AP230" s="21" t="n">
        <f aca="false">IF($A230="","",IF(N(AJ230)&gt;0,N(AP229)+1,0))</f>
        <v>0</v>
      </c>
      <c r="AQ230" s="21" t="str">
        <f aca="false">IF($A230="","",IF(WEEKDAY($A230,2)&lt;&gt;7,"",IF(AND(OR(AK230="",N(AK230)&gt;=$A230+16/24,N(AL230)&lt;=$A230+6/24),OR(AM230="",N(AM230)&lt;=$A230+6/24)),1,0)))</f>
        <v/>
      </c>
      <c r="AR230" s="26" t="str">
        <f aca="false">IF($A230="","",IF(INDEX(Muster!$C$10:$BF$10,1,MOD($A230-Einstellungen!$C$6,Einstellungen!$C$7)+1)="","-",INDEX(Muster!$C$10:$BF$10,1,MOD($A230-Einstellungen!$C$6,Einstellungen!$C$7)+1)))</f>
        <v>-</v>
      </c>
      <c r="AS230" s="27" t="n">
        <f aca="false">IF($A230="","",IFERROR(VLOOKUP(AR230,Schichten!$A$5:$G$24,6,FALSE()),0))</f>
        <v>0</v>
      </c>
      <c r="AT230" s="27" t="n">
        <f aca="false">IF($A230="","",IFERROR(VLOOKUP(AR230,Schichten!$A$5:$G$24,7,FALSE()),0))</f>
        <v>0</v>
      </c>
      <c r="AU230" s="28" t="str">
        <f aca="false">IF($A230="","",IF(N(AS230)=0,"",$A230+VLOOKUP(AR230,Schichten!$A$5:$G$24,3,FALSE())))</f>
        <v/>
      </c>
      <c r="AV230" s="28" t="str">
        <f aca="false">IF(AU230="","",$A230+VLOOKUP(AR230,Schichten!$A$5:$G$24,4,FALSE())+IF(VLOOKUP(AR230,Schichten!$A$5:$G$24,4,FALSE())&lt;=VLOOKUP(AR230,Schichten!$A$5:$G$24,3,FALSE()),1,0))</f>
        <v/>
      </c>
      <c r="AW230" s="28" t="str">
        <f aca="false">IF($A230="","",IF(N(AS229)&gt;0,AV229,AW229))</f>
        <v/>
      </c>
      <c r="AX230" s="27" t="str">
        <f aca="false">IF(OR(AU230="",AW230=""),"",(AU230-AW230)*24)</f>
        <v/>
      </c>
      <c r="AY230" s="21" t="n">
        <f aca="false">IF($A230="","",IF(N(AS230)&gt;0,N(AY229)+1,0))</f>
        <v>0</v>
      </c>
      <c r="AZ230" s="21" t="n">
        <f aca="false">IF($A230="","",IF(N(AT230)&gt;0,N(AZ229)+1,0))</f>
        <v>0</v>
      </c>
      <c r="BA230" s="21" t="str">
        <f aca="false">IF($A230="","",IF(WEEKDAY($A230,2)&lt;&gt;7,"",IF(AND(OR(AU230="",N(AU230)&gt;=$A230+16/24,N(AV230)&lt;=$A230+6/24),OR(AW230="",N(AW230)&lt;=$A230+6/24)),1,0)))</f>
        <v/>
      </c>
    </row>
    <row r="231" customFormat="false" ht="15" hidden="false" customHeight="false" outlineLevel="0" collapsed="false">
      <c r="A231" s="25" t="n">
        <f aca="false">IF(YEAR(DATE(Einstellungen!$C$4,1,1)+226)=Einstellungen!$C$4,DATE(Einstellungen!$C$4,1,1)+226,"")</f>
        <v>46614</v>
      </c>
      <c r="B231" s="26" t="str">
        <f aca="false">IF($A231="","",CHOOSE(WEEKDAY($A231,2),"Mo","Di","Mi","Do","Fr","Sa","So"))</f>
        <v>So</v>
      </c>
      <c r="C231" s="26" t="n">
        <f aca="false">IF($A231="","",MONTH($A231))</f>
        <v>8</v>
      </c>
      <c r="D231" s="26" t="str">
        <f aca="false">IF($A231="","",IF(INDEX(Muster!$C$6:$BF$6,1,MOD($A231-Einstellungen!$C$6,Einstellungen!$C$7)+1)="","-",INDEX(Muster!$C$6:$BF$6,1,MOD($A231-Einstellungen!$C$6,Einstellungen!$C$7)+1)))</f>
        <v>-</v>
      </c>
      <c r="E231" s="27" t="n">
        <f aca="false">IF($A231="","",IFERROR(VLOOKUP(D231,Schichten!$A$5:$G$24,6,FALSE()),0))</f>
        <v>0</v>
      </c>
      <c r="F231" s="27" t="n">
        <f aca="false">IF($A231="","",IFERROR(VLOOKUP(D231,Schichten!$A$5:$G$24,7,FALSE()),0))</f>
        <v>0</v>
      </c>
      <c r="G231" s="28" t="str">
        <f aca="false">IF($A231="","",IF(N(E231)=0,"",$A231+VLOOKUP(D231,Schichten!$A$5:$G$24,3,FALSE())))</f>
        <v/>
      </c>
      <c r="H231" s="28" t="str">
        <f aca="false">IF(G231="","",$A231+VLOOKUP(D231,Schichten!$A$5:$G$24,4,FALSE())+IF(VLOOKUP(D231,Schichten!$A$5:$G$24,4,FALSE())&lt;=VLOOKUP(D231,Schichten!$A$5:$G$24,3,FALSE()),1,0))</f>
        <v/>
      </c>
      <c r="I231" s="28" t="n">
        <f aca="false">IF($A231="","",IF(N(E230)&gt;0,H230,I230))</f>
        <v>46613.25</v>
      </c>
      <c r="J231" s="27" t="str">
        <f aca="false">IF(OR(G231="",I231=""),"",(G231-I231)*24)</f>
        <v/>
      </c>
      <c r="K231" s="21" t="n">
        <f aca="false">IF($A231="","",IF(N(E231)&gt;0,N(K230)+1,0))</f>
        <v>0</v>
      </c>
      <c r="L231" s="21" t="n">
        <f aca="false">IF($A231="","",IF(N(F231)&gt;0,N(L230)+1,0))</f>
        <v>0</v>
      </c>
      <c r="M231" s="21" t="n">
        <f aca="false">IF($A231="","",IF(WEEKDAY($A231,2)&lt;&gt;7,"",IF(AND(OR(G231="",N(G231)&gt;=$A231+16/24,N(H231)&lt;=$A231+6/24),OR(I231="",N(I231)&lt;=$A231+6/24)),1,0)))</f>
        <v>1</v>
      </c>
      <c r="N231" s="26" t="str">
        <f aca="false">IF($A231="","",IF(INDEX(Muster!$C$7:$BF$7,1,MOD($A231-Einstellungen!$C$6,Einstellungen!$C$7)+1)="","-",INDEX(Muster!$C$7:$BF$7,1,MOD($A231-Einstellungen!$C$6,Einstellungen!$C$7)+1)))</f>
        <v>N</v>
      </c>
      <c r="O231" s="27" t="n">
        <f aca="false">IF($A231="","",IFERROR(VLOOKUP(N231,Schichten!$A$5:$G$24,6,FALSE()),0))</f>
        <v>8</v>
      </c>
      <c r="P231" s="27" t="n">
        <f aca="false">IF($A231="","",IFERROR(VLOOKUP(N231,Schichten!$A$5:$G$24,7,FALSE()),0))</f>
        <v>7</v>
      </c>
      <c r="Q231" s="28" t="n">
        <f aca="false">IF($A231="","",IF(N(O231)=0,"",$A231+VLOOKUP(N231,Schichten!$A$5:$G$24,3,FALSE())))</f>
        <v>46614.9166666667</v>
      </c>
      <c r="R231" s="28" t="n">
        <f aca="false">IF(Q231="","",$A231+VLOOKUP(N231,Schichten!$A$5:$G$24,4,FALSE())+IF(VLOOKUP(N231,Schichten!$A$5:$G$24,4,FALSE())&lt;=VLOOKUP(N231,Schichten!$A$5:$G$24,3,FALSE()),1,0))</f>
        <v>46615.25</v>
      </c>
      <c r="S231" s="28" t="n">
        <f aca="false">IF($A231="","",IF(N(O230)&gt;0,R230,S230))</f>
        <v>46614.25</v>
      </c>
      <c r="T231" s="27" t="n">
        <f aca="false">IF(OR(Q231="",S231=""),"",(Q231-S231)*24)</f>
        <v>16</v>
      </c>
      <c r="U231" s="21" t="n">
        <f aca="false">IF($A231="","",IF(N(O231)&gt;0,N(U230)+1,0))</f>
        <v>6</v>
      </c>
      <c r="V231" s="21" t="n">
        <f aca="false">IF($A231="","",IF(N(P231)&gt;0,N(V230)+1,0))</f>
        <v>2</v>
      </c>
      <c r="W231" s="21" t="n">
        <f aca="false">IF($A231="","",IF(WEEKDAY($A231,2)&lt;&gt;7,"",IF(AND(OR(Q231="",N(Q231)&gt;=$A231+16/24,N(R231)&lt;=$A231+6/24),OR(S231="",N(S231)&lt;=$A231+6/24)),1,0)))</f>
        <v>1</v>
      </c>
      <c r="X231" s="26" t="str">
        <f aca="false">IF($A231="","",IF(INDEX(Muster!$C$8:$BF$8,1,MOD($A231-Einstellungen!$C$6,Einstellungen!$C$7)+1)="","-",INDEX(Muster!$C$8:$BF$8,1,MOD($A231-Einstellungen!$C$6,Einstellungen!$C$7)+1)))</f>
        <v>S</v>
      </c>
      <c r="Y231" s="27" t="n">
        <f aca="false">IF($A231="","",IFERROR(VLOOKUP(X231,Schichten!$A$5:$G$24,6,FALSE()),0))</f>
        <v>8</v>
      </c>
      <c r="Z231" s="27" t="n">
        <f aca="false">IF($A231="","",IFERROR(VLOOKUP(X231,Schichten!$A$5:$G$24,7,FALSE()),0))</f>
        <v>0</v>
      </c>
      <c r="AA231" s="28" t="n">
        <f aca="false">IF($A231="","",IF(N(Y231)=0,"",$A231+VLOOKUP(X231,Schichten!$A$5:$G$24,3,FALSE())))</f>
        <v>46614.5833333333</v>
      </c>
      <c r="AB231" s="28" t="n">
        <f aca="false">IF(AA231="","",$A231+VLOOKUP(X231,Schichten!$A$5:$G$24,4,FALSE())+IF(VLOOKUP(X231,Schichten!$A$5:$G$24,4,FALSE())&lt;=VLOOKUP(X231,Schichten!$A$5:$G$24,3,FALSE()),1,0))</f>
        <v>46614.9166666667</v>
      </c>
      <c r="AC231" s="28" t="n">
        <f aca="false">IF($A231="","",IF(N(Y230)&gt;0,AB230,AC230))</f>
        <v>46613.9166666667</v>
      </c>
      <c r="AD231" s="27" t="n">
        <f aca="false">IF(OR(AA231="",AC231=""),"",(AA231-AC231)*24)</f>
        <v>16</v>
      </c>
      <c r="AE231" s="21" t="n">
        <f aca="false">IF($A231="","",IF(N(Y231)&gt;0,N(AE230)+1,0))</f>
        <v>4</v>
      </c>
      <c r="AF231" s="21" t="n">
        <f aca="false">IF($A231="","",IF(N(Z231)&gt;0,N(AF230)+1,0))</f>
        <v>0</v>
      </c>
      <c r="AG231" s="21" t="n">
        <f aca="false">IF($A231="","",IF(WEEKDAY($A231,2)&lt;&gt;7,"",IF(AND(OR(AA231="",N(AA231)&gt;=$A231+16/24,N(AB231)&lt;=$A231+6/24),OR(AC231="",N(AC231)&lt;=$A231+6/24)),1,0)))</f>
        <v>0</v>
      </c>
      <c r="AH231" s="26" t="str">
        <f aca="false">IF($A231="","",IF(INDEX(Muster!$C$9:$BF$9,1,MOD($A231-Einstellungen!$C$6,Einstellungen!$C$7)+1)="","-",INDEX(Muster!$C$9:$BF$9,1,MOD($A231-Einstellungen!$C$6,Einstellungen!$C$7)+1)))</f>
        <v>F</v>
      </c>
      <c r="AI231" s="27" t="n">
        <f aca="false">IF($A231="","",IFERROR(VLOOKUP(AH231,Schichten!$A$5:$G$24,6,FALSE()),0))</f>
        <v>8</v>
      </c>
      <c r="AJ231" s="27" t="n">
        <f aca="false">IF($A231="","",IFERROR(VLOOKUP(AH231,Schichten!$A$5:$G$24,7,FALSE()),0))</f>
        <v>0</v>
      </c>
      <c r="AK231" s="28" t="n">
        <f aca="false">IF($A231="","",IF(N(AI231)=0,"",$A231+VLOOKUP(AH231,Schichten!$A$5:$G$24,3,FALSE())))</f>
        <v>46614.25</v>
      </c>
      <c r="AL231" s="28" t="n">
        <f aca="false">IF(AK231="","",$A231+VLOOKUP(AH231,Schichten!$A$5:$G$24,4,FALSE())+IF(VLOOKUP(AH231,Schichten!$A$5:$G$24,4,FALSE())&lt;=VLOOKUP(AH231,Schichten!$A$5:$G$24,3,FALSE()),1,0))</f>
        <v>46614.5833333333</v>
      </c>
      <c r="AM231" s="28" t="n">
        <f aca="false">IF($A231="","",IF(N(AI230)&gt;0,AL230,AM230))</f>
        <v>46613.5833333333</v>
      </c>
      <c r="AN231" s="27" t="n">
        <f aca="false">IF(OR(AK231="",AM231=""),"",(AK231-AM231)*24)</f>
        <v>16</v>
      </c>
      <c r="AO231" s="21" t="n">
        <f aca="false">IF($A231="","",IF(N(AI231)&gt;0,N(AO230)+1,0))</f>
        <v>2</v>
      </c>
      <c r="AP231" s="21" t="n">
        <f aca="false">IF($A231="","",IF(N(AJ231)&gt;0,N(AP230)+1,0))</f>
        <v>0</v>
      </c>
      <c r="AQ231" s="21" t="n">
        <f aca="false">IF($A231="","",IF(WEEKDAY($A231,2)&lt;&gt;7,"",IF(AND(OR(AK231="",N(AK231)&gt;=$A231+16/24,N(AL231)&lt;=$A231+6/24),OR(AM231="",N(AM231)&lt;=$A231+6/24)),1,0)))</f>
        <v>0</v>
      </c>
      <c r="AR231" s="26" t="str">
        <f aca="false">IF($A231="","",IF(INDEX(Muster!$C$10:$BF$10,1,MOD($A231-Einstellungen!$C$6,Einstellungen!$C$7)+1)="","-",INDEX(Muster!$C$10:$BF$10,1,MOD($A231-Einstellungen!$C$6,Einstellungen!$C$7)+1)))</f>
        <v>-</v>
      </c>
      <c r="AS231" s="27" t="n">
        <f aca="false">IF($A231="","",IFERROR(VLOOKUP(AR231,Schichten!$A$5:$G$24,6,FALSE()),0))</f>
        <v>0</v>
      </c>
      <c r="AT231" s="27" t="n">
        <f aca="false">IF($A231="","",IFERROR(VLOOKUP(AR231,Schichten!$A$5:$G$24,7,FALSE()),0))</f>
        <v>0</v>
      </c>
      <c r="AU231" s="28" t="str">
        <f aca="false">IF($A231="","",IF(N(AS231)=0,"",$A231+VLOOKUP(AR231,Schichten!$A$5:$G$24,3,FALSE())))</f>
        <v/>
      </c>
      <c r="AV231" s="28" t="str">
        <f aca="false">IF(AU231="","",$A231+VLOOKUP(AR231,Schichten!$A$5:$G$24,4,FALSE())+IF(VLOOKUP(AR231,Schichten!$A$5:$G$24,4,FALSE())&lt;=VLOOKUP(AR231,Schichten!$A$5:$G$24,3,FALSE()),1,0))</f>
        <v/>
      </c>
      <c r="AW231" s="28" t="str">
        <f aca="false">IF($A231="","",IF(N(AS230)&gt;0,AV230,AW230))</f>
        <v/>
      </c>
      <c r="AX231" s="27" t="str">
        <f aca="false">IF(OR(AU231="",AW231=""),"",(AU231-AW231)*24)</f>
        <v/>
      </c>
      <c r="AY231" s="21" t="n">
        <f aca="false">IF($A231="","",IF(N(AS231)&gt;0,N(AY230)+1,0))</f>
        <v>0</v>
      </c>
      <c r="AZ231" s="21" t="n">
        <f aca="false">IF($A231="","",IF(N(AT231)&gt;0,N(AZ230)+1,0))</f>
        <v>0</v>
      </c>
      <c r="BA231" s="21" t="n">
        <f aca="false">IF($A231="","",IF(WEEKDAY($A231,2)&lt;&gt;7,"",IF(AND(OR(AU231="",N(AU231)&gt;=$A231+16/24,N(AV231)&lt;=$A231+6/24),OR(AW231="",N(AW231)&lt;=$A231+6/24)),1,0)))</f>
        <v>1</v>
      </c>
    </row>
    <row r="232" customFormat="false" ht="15" hidden="false" customHeight="false" outlineLevel="0" collapsed="false">
      <c r="A232" s="25" t="n">
        <f aca="false">IF(YEAR(DATE(Einstellungen!$C$4,1,1)+227)=Einstellungen!$C$4,DATE(Einstellungen!$C$4,1,1)+227,"")</f>
        <v>46615</v>
      </c>
      <c r="B232" s="26" t="str">
        <f aca="false">IF($A232="","",CHOOSE(WEEKDAY($A232,2),"Mo","Di","Mi","Do","Fr","Sa","So"))</f>
        <v>Mo</v>
      </c>
      <c r="C232" s="26" t="n">
        <f aca="false">IF($A232="","",MONTH($A232))</f>
        <v>8</v>
      </c>
      <c r="D232" s="26" t="str">
        <f aca="false">IF($A232="","",IF(INDEX(Muster!$C$6:$BF$6,1,MOD($A232-Einstellungen!$C$6,Einstellungen!$C$7)+1)="","-",INDEX(Muster!$C$6:$BF$6,1,MOD($A232-Einstellungen!$C$6,Einstellungen!$C$7)+1)))</f>
        <v>F</v>
      </c>
      <c r="E232" s="27" t="n">
        <f aca="false">IF($A232="","",IFERROR(VLOOKUP(D232,Schichten!$A$5:$G$24,6,FALSE()),0))</f>
        <v>8</v>
      </c>
      <c r="F232" s="27" t="n">
        <f aca="false">IF($A232="","",IFERROR(VLOOKUP(D232,Schichten!$A$5:$G$24,7,FALSE()),0))</f>
        <v>0</v>
      </c>
      <c r="G232" s="28" t="n">
        <f aca="false">IF($A232="","",IF(N(E232)=0,"",$A232+VLOOKUP(D232,Schichten!$A$5:$G$24,3,FALSE())))</f>
        <v>46615.25</v>
      </c>
      <c r="H232" s="28" t="n">
        <f aca="false">IF(G232="","",$A232+VLOOKUP(D232,Schichten!$A$5:$G$24,4,FALSE())+IF(VLOOKUP(D232,Schichten!$A$5:$G$24,4,FALSE())&lt;=VLOOKUP(D232,Schichten!$A$5:$G$24,3,FALSE()),1,0))</f>
        <v>46615.5833333333</v>
      </c>
      <c r="I232" s="28" t="n">
        <f aca="false">IF($A232="","",IF(N(E231)&gt;0,H231,I231))</f>
        <v>46613.25</v>
      </c>
      <c r="J232" s="27" t="n">
        <f aca="false">IF(OR(G232="",I232=""),"",(G232-I232)*24)</f>
        <v>48</v>
      </c>
      <c r="K232" s="21" t="n">
        <f aca="false">IF($A232="","",IF(N(E232)&gt;0,N(K231)+1,0))</f>
        <v>1</v>
      </c>
      <c r="L232" s="21" t="n">
        <f aca="false">IF($A232="","",IF(N(F232)&gt;0,N(L231)+1,0))</f>
        <v>0</v>
      </c>
      <c r="M232" s="21" t="str">
        <f aca="false">IF($A232="","",IF(WEEKDAY($A232,2)&lt;&gt;7,"",IF(AND(OR(G232="",N(G232)&gt;=$A232+16/24,N(H232)&lt;=$A232+6/24),OR(I232="",N(I232)&lt;=$A232+6/24)),1,0)))</f>
        <v/>
      </c>
      <c r="N232" s="26" t="str">
        <f aca="false">IF($A232="","",IF(INDEX(Muster!$C$7:$BF$7,1,MOD($A232-Einstellungen!$C$6,Einstellungen!$C$7)+1)="","-",INDEX(Muster!$C$7:$BF$7,1,MOD($A232-Einstellungen!$C$6,Einstellungen!$C$7)+1)))</f>
        <v>-</v>
      </c>
      <c r="O232" s="27" t="n">
        <f aca="false">IF($A232="","",IFERROR(VLOOKUP(N232,Schichten!$A$5:$G$24,6,FALSE()),0))</f>
        <v>0</v>
      </c>
      <c r="P232" s="27" t="n">
        <f aca="false">IF($A232="","",IFERROR(VLOOKUP(N232,Schichten!$A$5:$G$24,7,FALSE()),0))</f>
        <v>0</v>
      </c>
      <c r="Q232" s="28" t="str">
        <f aca="false">IF($A232="","",IF(N(O232)=0,"",$A232+VLOOKUP(N232,Schichten!$A$5:$G$24,3,FALSE())))</f>
        <v/>
      </c>
      <c r="R232" s="28" t="str">
        <f aca="false">IF(Q232="","",$A232+VLOOKUP(N232,Schichten!$A$5:$G$24,4,FALSE())+IF(VLOOKUP(N232,Schichten!$A$5:$G$24,4,FALSE())&lt;=VLOOKUP(N232,Schichten!$A$5:$G$24,3,FALSE()),1,0))</f>
        <v/>
      </c>
      <c r="S232" s="28" t="n">
        <f aca="false">IF($A232="","",IF(N(O231)&gt;0,R231,S231))</f>
        <v>46615.25</v>
      </c>
      <c r="T232" s="27" t="str">
        <f aca="false">IF(OR(Q232="",S232=""),"",(Q232-S232)*24)</f>
        <v/>
      </c>
      <c r="U232" s="21" t="n">
        <f aca="false">IF($A232="","",IF(N(O232)&gt;0,N(U231)+1,0))</f>
        <v>0</v>
      </c>
      <c r="V232" s="21" t="n">
        <f aca="false">IF($A232="","",IF(N(P232)&gt;0,N(V231)+1,0))</f>
        <v>0</v>
      </c>
      <c r="W232" s="21" t="str">
        <f aca="false">IF($A232="","",IF(WEEKDAY($A232,2)&lt;&gt;7,"",IF(AND(OR(Q232="",N(Q232)&gt;=$A232+16/24,N(R232)&lt;=$A232+6/24),OR(S232="",N(S232)&lt;=$A232+6/24)),1,0)))</f>
        <v/>
      </c>
      <c r="X232" s="26" t="str">
        <f aca="false">IF($A232="","",IF(INDEX(Muster!$C$8:$BF$8,1,MOD($A232-Einstellungen!$C$6,Einstellungen!$C$7)+1)="","-",INDEX(Muster!$C$8:$BF$8,1,MOD($A232-Einstellungen!$C$6,Einstellungen!$C$7)+1)))</f>
        <v>N</v>
      </c>
      <c r="Y232" s="27" t="n">
        <f aca="false">IF($A232="","",IFERROR(VLOOKUP(X232,Schichten!$A$5:$G$24,6,FALSE()),0))</f>
        <v>8</v>
      </c>
      <c r="Z232" s="27" t="n">
        <f aca="false">IF($A232="","",IFERROR(VLOOKUP(X232,Schichten!$A$5:$G$24,7,FALSE()),0))</f>
        <v>7</v>
      </c>
      <c r="AA232" s="28" t="n">
        <f aca="false">IF($A232="","",IF(N(Y232)=0,"",$A232+VLOOKUP(X232,Schichten!$A$5:$G$24,3,FALSE())))</f>
        <v>46615.9166666667</v>
      </c>
      <c r="AB232" s="28" t="n">
        <f aca="false">IF(AA232="","",$A232+VLOOKUP(X232,Schichten!$A$5:$G$24,4,FALSE())+IF(VLOOKUP(X232,Schichten!$A$5:$G$24,4,FALSE())&lt;=VLOOKUP(X232,Schichten!$A$5:$G$24,3,FALSE()),1,0))</f>
        <v>46616.25</v>
      </c>
      <c r="AC232" s="28" t="n">
        <f aca="false">IF($A232="","",IF(N(Y231)&gt;0,AB231,AC231))</f>
        <v>46614.9166666667</v>
      </c>
      <c r="AD232" s="27" t="n">
        <f aca="false">IF(OR(AA232="",AC232=""),"",(AA232-AC232)*24)</f>
        <v>24</v>
      </c>
      <c r="AE232" s="21" t="n">
        <f aca="false">IF($A232="","",IF(N(Y232)&gt;0,N(AE231)+1,0))</f>
        <v>5</v>
      </c>
      <c r="AF232" s="21" t="n">
        <f aca="false">IF($A232="","",IF(N(Z232)&gt;0,N(AF231)+1,0))</f>
        <v>1</v>
      </c>
      <c r="AG232" s="21" t="str">
        <f aca="false">IF($A232="","",IF(WEEKDAY($A232,2)&lt;&gt;7,"",IF(AND(OR(AA232="",N(AA232)&gt;=$A232+16/24,N(AB232)&lt;=$A232+6/24),OR(AC232="",N(AC232)&lt;=$A232+6/24)),1,0)))</f>
        <v/>
      </c>
      <c r="AH232" s="26" t="str">
        <f aca="false">IF($A232="","",IF(INDEX(Muster!$C$9:$BF$9,1,MOD($A232-Einstellungen!$C$6,Einstellungen!$C$7)+1)="","-",INDEX(Muster!$C$9:$BF$9,1,MOD($A232-Einstellungen!$C$6,Einstellungen!$C$7)+1)))</f>
        <v>S</v>
      </c>
      <c r="AI232" s="27" t="n">
        <f aca="false">IF($A232="","",IFERROR(VLOOKUP(AH232,Schichten!$A$5:$G$24,6,FALSE()),0))</f>
        <v>8</v>
      </c>
      <c r="AJ232" s="27" t="n">
        <f aca="false">IF($A232="","",IFERROR(VLOOKUP(AH232,Schichten!$A$5:$G$24,7,FALSE()),0))</f>
        <v>0</v>
      </c>
      <c r="AK232" s="28" t="n">
        <f aca="false">IF($A232="","",IF(N(AI232)=0,"",$A232+VLOOKUP(AH232,Schichten!$A$5:$G$24,3,FALSE())))</f>
        <v>46615.5833333333</v>
      </c>
      <c r="AL232" s="28" t="n">
        <f aca="false">IF(AK232="","",$A232+VLOOKUP(AH232,Schichten!$A$5:$G$24,4,FALSE())+IF(VLOOKUP(AH232,Schichten!$A$5:$G$24,4,FALSE())&lt;=VLOOKUP(AH232,Schichten!$A$5:$G$24,3,FALSE()),1,0))</f>
        <v>46615.9166666667</v>
      </c>
      <c r="AM232" s="28" t="n">
        <f aca="false">IF($A232="","",IF(N(AI231)&gt;0,AL231,AM231))</f>
        <v>46614.5833333333</v>
      </c>
      <c r="AN232" s="27" t="n">
        <f aca="false">IF(OR(AK232="",AM232=""),"",(AK232-AM232)*24)</f>
        <v>24</v>
      </c>
      <c r="AO232" s="21" t="n">
        <f aca="false">IF($A232="","",IF(N(AI232)&gt;0,N(AO231)+1,0))</f>
        <v>3</v>
      </c>
      <c r="AP232" s="21" t="n">
        <f aca="false">IF($A232="","",IF(N(AJ232)&gt;0,N(AP231)+1,0))</f>
        <v>0</v>
      </c>
      <c r="AQ232" s="21" t="str">
        <f aca="false">IF($A232="","",IF(WEEKDAY($A232,2)&lt;&gt;7,"",IF(AND(OR(AK232="",N(AK232)&gt;=$A232+16/24,N(AL232)&lt;=$A232+6/24),OR(AM232="",N(AM232)&lt;=$A232+6/24)),1,0)))</f>
        <v/>
      </c>
      <c r="AR232" s="26" t="str">
        <f aca="false">IF($A232="","",IF(INDEX(Muster!$C$10:$BF$10,1,MOD($A232-Einstellungen!$C$6,Einstellungen!$C$7)+1)="","-",INDEX(Muster!$C$10:$BF$10,1,MOD($A232-Einstellungen!$C$6,Einstellungen!$C$7)+1)))</f>
        <v>-</v>
      </c>
      <c r="AS232" s="27" t="n">
        <f aca="false">IF($A232="","",IFERROR(VLOOKUP(AR232,Schichten!$A$5:$G$24,6,FALSE()),0))</f>
        <v>0</v>
      </c>
      <c r="AT232" s="27" t="n">
        <f aca="false">IF($A232="","",IFERROR(VLOOKUP(AR232,Schichten!$A$5:$G$24,7,FALSE()),0))</f>
        <v>0</v>
      </c>
      <c r="AU232" s="28" t="str">
        <f aca="false">IF($A232="","",IF(N(AS232)=0,"",$A232+VLOOKUP(AR232,Schichten!$A$5:$G$24,3,FALSE())))</f>
        <v/>
      </c>
      <c r="AV232" s="28" t="str">
        <f aca="false">IF(AU232="","",$A232+VLOOKUP(AR232,Schichten!$A$5:$G$24,4,FALSE())+IF(VLOOKUP(AR232,Schichten!$A$5:$G$24,4,FALSE())&lt;=VLOOKUP(AR232,Schichten!$A$5:$G$24,3,FALSE()),1,0))</f>
        <v/>
      </c>
      <c r="AW232" s="28" t="str">
        <f aca="false">IF($A232="","",IF(N(AS231)&gt;0,AV231,AW231))</f>
        <v/>
      </c>
      <c r="AX232" s="27" t="str">
        <f aca="false">IF(OR(AU232="",AW232=""),"",(AU232-AW232)*24)</f>
        <v/>
      </c>
      <c r="AY232" s="21" t="n">
        <f aca="false">IF($A232="","",IF(N(AS232)&gt;0,N(AY231)+1,0))</f>
        <v>0</v>
      </c>
      <c r="AZ232" s="21" t="n">
        <f aca="false">IF($A232="","",IF(N(AT232)&gt;0,N(AZ231)+1,0))</f>
        <v>0</v>
      </c>
      <c r="BA232" s="21" t="str">
        <f aca="false">IF($A232="","",IF(WEEKDAY($A232,2)&lt;&gt;7,"",IF(AND(OR(AU232="",N(AU232)&gt;=$A232+16/24,N(AV232)&lt;=$A232+6/24),OR(AW232="",N(AW232)&lt;=$A232+6/24)),1,0)))</f>
        <v/>
      </c>
    </row>
    <row r="233" customFormat="false" ht="15" hidden="false" customHeight="false" outlineLevel="0" collapsed="false">
      <c r="A233" s="25" t="n">
        <f aca="false">IF(YEAR(DATE(Einstellungen!$C$4,1,1)+228)=Einstellungen!$C$4,DATE(Einstellungen!$C$4,1,1)+228,"")</f>
        <v>46616</v>
      </c>
      <c r="B233" s="26" t="str">
        <f aca="false">IF($A233="","",CHOOSE(WEEKDAY($A233,2),"Mo","Di","Mi","Do","Fr","Sa","So"))</f>
        <v>Di</v>
      </c>
      <c r="C233" s="26" t="n">
        <f aca="false">IF($A233="","",MONTH($A233))</f>
        <v>8</v>
      </c>
      <c r="D233" s="26" t="str">
        <f aca="false">IF($A233="","",IF(INDEX(Muster!$C$6:$BF$6,1,MOD($A233-Einstellungen!$C$6,Einstellungen!$C$7)+1)="","-",INDEX(Muster!$C$6:$BF$6,1,MOD($A233-Einstellungen!$C$6,Einstellungen!$C$7)+1)))</f>
        <v>F</v>
      </c>
      <c r="E233" s="27" t="n">
        <f aca="false">IF($A233="","",IFERROR(VLOOKUP(D233,Schichten!$A$5:$G$24,6,FALSE()),0))</f>
        <v>8</v>
      </c>
      <c r="F233" s="27" t="n">
        <f aca="false">IF($A233="","",IFERROR(VLOOKUP(D233,Schichten!$A$5:$G$24,7,FALSE()),0))</f>
        <v>0</v>
      </c>
      <c r="G233" s="28" t="n">
        <f aca="false">IF($A233="","",IF(N(E233)=0,"",$A233+VLOOKUP(D233,Schichten!$A$5:$G$24,3,FALSE())))</f>
        <v>46616.25</v>
      </c>
      <c r="H233" s="28" t="n">
        <f aca="false">IF(G233="","",$A233+VLOOKUP(D233,Schichten!$A$5:$G$24,4,FALSE())+IF(VLOOKUP(D233,Schichten!$A$5:$G$24,4,FALSE())&lt;=VLOOKUP(D233,Schichten!$A$5:$G$24,3,FALSE()),1,0))</f>
        <v>46616.5833333333</v>
      </c>
      <c r="I233" s="28" t="n">
        <f aca="false">IF($A233="","",IF(N(E232)&gt;0,H232,I232))</f>
        <v>46615.5833333333</v>
      </c>
      <c r="J233" s="27" t="n">
        <f aca="false">IF(OR(G233="",I233=""),"",(G233-I233)*24)</f>
        <v>16</v>
      </c>
      <c r="K233" s="21" t="n">
        <f aca="false">IF($A233="","",IF(N(E233)&gt;0,N(K232)+1,0))</f>
        <v>2</v>
      </c>
      <c r="L233" s="21" t="n">
        <f aca="false">IF($A233="","",IF(N(F233)&gt;0,N(L232)+1,0))</f>
        <v>0</v>
      </c>
      <c r="M233" s="21" t="str">
        <f aca="false">IF($A233="","",IF(WEEKDAY($A233,2)&lt;&gt;7,"",IF(AND(OR(G233="",N(G233)&gt;=$A233+16/24,N(H233)&lt;=$A233+6/24),OR(I233="",N(I233)&lt;=$A233+6/24)),1,0)))</f>
        <v/>
      </c>
      <c r="N233" s="26" t="str">
        <f aca="false">IF($A233="","",IF(INDEX(Muster!$C$7:$BF$7,1,MOD($A233-Einstellungen!$C$6,Einstellungen!$C$7)+1)="","-",INDEX(Muster!$C$7:$BF$7,1,MOD($A233-Einstellungen!$C$6,Einstellungen!$C$7)+1)))</f>
        <v>-</v>
      </c>
      <c r="O233" s="27" t="n">
        <f aca="false">IF($A233="","",IFERROR(VLOOKUP(N233,Schichten!$A$5:$G$24,6,FALSE()),0))</f>
        <v>0</v>
      </c>
      <c r="P233" s="27" t="n">
        <f aca="false">IF($A233="","",IFERROR(VLOOKUP(N233,Schichten!$A$5:$G$24,7,FALSE()),0))</f>
        <v>0</v>
      </c>
      <c r="Q233" s="28" t="str">
        <f aca="false">IF($A233="","",IF(N(O233)=0,"",$A233+VLOOKUP(N233,Schichten!$A$5:$G$24,3,FALSE())))</f>
        <v/>
      </c>
      <c r="R233" s="28" t="str">
        <f aca="false">IF(Q233="","",$A233+VLOOKUP(N233,Schichten!$A$5:$G$24,4,FALSE())+IF(VLOOKUP(N233,Schichten!$A$5:$G$24,4,FALSE())&lt;=VLOOKUP(N233,Schichten!$A$5:$G$24,3,FALSE()),1,0))</f>
        <v/>
      </c>
      <c r="S233" s="28" t="n">
        <f aca="false">IF($A233="","",IF(N(O232)&gt;0,R232,S232))</f>
        <v>46615.25</v>
      </c>
      <c r="T233" s="27" t="str">
        <f aca="false">IF(OR(Q233="",S233=""),"",(Q233-S233)*24)</f>
        <v/>
      </c>
      <c r="U233" s="21" t="n">
        <f aca="false">IF($A233="","",IF(N(O233)&gt;0,N(U232)+1,0))</f>
        <v>0</v>
      </c>
      <c r="V233" s="21" t="n">
        <f aca="false">IF($A233="","",IF(N(P233)&gt;0,N(V232)+1,0))</f>
        <v>0</v>
      </c>
      <c r="W233" s="21" t="str">
        <f aca="false">IF($A233="","",IF(WEEKDAY($A233,2)&lt;&gt;7,"",IF(AND(OR(Q233="",N(Q233)&gt;=$A233+16/24,N(R233)&lt;=$A233+6/24),OR(S233="",N(S233)&lt;=$A233+6/24)),1,0)))</f>
        <v/>
      </c>
      <c r="X233" s="26" t="str">
        <f aca="false">IF($A233="","",IF(INDEX(Muster!$C$8:$BF$8,1,MOD($A233-Einstellungen!$C$6,Einstellungen!$C$7)+1)="","-",INDEX(Muster!$C$8:$BF$8,1,MOD($A233-Einstellungen!$C$6,Einstellungen!$C$7)+1)))</f>
        <v>N</v>
      </c>
      <c r="Y233" s="27" t="n">
        <f aca="false">IF($A233="","",IFERROR(VLOOKUP(X233,Schichten!$A$5:$G$24,6,FALSE()),0))</f>
        <v>8</v>
      </c>
      <c r="Z233" s="27" t="n">
        <f aca="false">IF($A233="","",IFERROR(VLOOKUP(X233,Schichten!$A$5:$G$24,7,FALSE()),0))</f>
        <v>7</v>
      </c>
      <c r="AA233" s="28" t="n">
        <f aca="false">IF($A233="","",IF(N(Y233)=0,"",$A233+VLOOKUP(X233,Schichten!$A$5:$G$24,3,FALSE())))</f>
        <v>46616.9166666667</v>
      </c>
      <c r="AB233" s="28" t="n">
        <f aca="false">IF(AA233="","",$A233+VLOOKUP(X233,Schichten!$A$5:$G$24,4,FALSE())+IF(VLOOKUP(X233,Schichten!$A$5:$G$24,4,FALSE())&lt;=VLOOKUP(X233,Schichten!$A$5:$G$24,3,FALSE()),1,0))</f>
        <v>46617.25</v>
      </c>
      <c r="AC233" s="28" t="n">
        <f aca="false">IF($A233="","",IF(N(Y232)&gt;0,AB232,AC232))</f>
        <v>46616.25</v>
      </c>
      <c r="AD233" s="27" t="n">
        <f aca="false">IF(OR(AA233="",AC233=""),"",(AA233-AC233)*24)</f>
        <v>16</v>
      </c>
      <c r="AE233" s="21" t="n">
        <f aca="false">IF($A233="","",IF(N(Y233)&gt;0,N(AE232)+1,0))</f>
        <v>6</v>
      </c>
      <c r="AF233" s="21" t="n">
        <f aca="false">IF($A233="","",IF(N(Z233)&gt;0,N(AF232)+1,0))</f>
        <v>2</v>
      </c>
      <c r="AG233" s="21" t="str">
        <f aca="false">IF($A233="","",IF(WEEKDAY($A233,2)&lt;&gt;7,"",IF(AND(OR(AA233="",N(AA233)&gt;=$A233+16/24,N(AB233)&lt;=$A233+6/24),OR(AC233="",N(AC233)&lt;=$A233+6/24)),1,0)))</f>
        <v/>
      </c>
      <c r="AH233" s="26" t="str">
        <f aca="false">IF($A233="","",IF(INDEX(Muster!$C$9:$BF$9,1,MOD($A233-Einstellungen!$C$6,Einstellungen!$C$7)+1)="","-",INDEX(Muster!$C$9:$BF$9,1,MOD($A233-Einstellungen!$C$6,Einstellungen!$C$7)+1)))</f>
        <v>S</v>
      </c>
      <c r="AI233" s="27" t="n">
        <f aca="false">IF($A233="","",IFERROR(VLOOKUP(AH233,Schichten!$A$5:$G$24,6,FALSE()),0))</f>
        <v>8</v>
      </c>
      <c r="AJ233" s="27" t="n">
        <f aca="false">IF($A233="","",IFERROR(VLOOKUP(AH233,Schichten!$A$5:$G$24,7,FALSE()),0))</f>
        <v>0</v>
      </c>
      <c r="AK233" s="28" t="n">
        <f aca="false">IF($A233="","",IF(N(AI233)=0,"",$A233+VLOOKUP(AH233,Schichten!$A$5:$G$24,3,FALSE())))</f>
        <v>46616.5833333333</v>
      </c>
      <c r="AL233" s="28" t="n">
        <f aca="false">IF(AK233="","",$A233+VLOOKUP(AH233,Schichten!$A$5:$G$24,4,FALSE())+IF(VLOOKUP(AH233,Schichten!$A$5:$G$24,4,FALSE())&lt;=VLOOKUP(AH233,Schichten!$A$5:$G$24,3,FALSE()),1,0))</f>
        <v>46616.9166666667</v>
      </c>
      <c r="AM233" s="28" t="n">
        <f aca="false">IF($A233="","",IF(N(AI232)&gt;0,AL232,AM232))</f>
        <v>46615.9166666667</v>
      </c>
      <c r="AN233" s="27" t="n">
        <f aca="false">IF(OR(AK233="",AM233=""),"",(AK233-AM233)*24)</f>
        <v>16</v>
      </c>
      <c r="AO233" s="21" t="n">
        <f aca="false">IF($A233="","",IF(N(AI233)&gt;0,N(AO232)+1,0))</f>
        <v>4</v>
      </c>
      <c r="AP233" s="21" t="n">
        <f aca="false">IF($A233="","",IF(N(AJ233)&gt;0,N(AP232)+1,0))</f>
        <v>0</v>
      </c>
      <c r="AQ233" s="21" t="str">
        <f aca="false">IF($A233="","",IF(WEEKDAY($A233,2)&lt;&gt;7,"",IF(AND(OR(AK233="",N(AK233)&gt;=$A233+16/24,N(AL233)&lt;=$A233+6/24),OR(AM233="",N(AM233)&lt;=$A233+6/24)),1,0)))</f>
        <v/>
      </c>
      <c r="AR233" s="26" t="str">
        <f aca="false">IF($A233="","",IF(INDEX(Muster!$C$10:$BF$10,1,MOD($A233-Einstellungen!$C$6,Einstellungen!$C$7)+1)="","-",INDEX(Muster!$C$10:$BF$10,1,MOD($A233-Einstellungen!$C$6,Einstellungen!$C$7)+1)))</f>
        <v>-</v>
      </c>
      <c r="AS233" s="27" t="n">
        <f aca="false">IF($A233="","",IFERROR(VLOOKUP(AR233,Schichten!$A$5:$G$24,6,FALSE()),0))</f>
        <v>0</v>
      </c>
      <c r="AT233" s="27" t="n">
        <f aca="false">IF($A233="","",IFERROR(VLOOKUP(AR233,Schichten!$A$5:$G$24,7,FALSE()),0))</f>
        <v>0</v>
      </c>
      <c r="AU233" s="28" t="str">
        <f aca="false">IF($A233="","",IF(N(AS233)=0,"",$A233+VLOOKUP(AR233,Schichten!$A$5:$G$24,3,FALSE())))</f>
        <v/>
      </c>
      <c r="AV233" s="28" t="str">
        <f aca="false">IF(AU233="","",$A233+VLOOKUP(AR233,Schichten!$A$5:$G$24,4,FALSE())+IF(VLOOKUP(AR233,Schichten!$A$5:$G$24,4,FALSE())&lt;=VLOOKUP(AR233,Schichten!$A$5:$G$24,3,FALSE()),1,0))</f>
        <v/>
      </c>
      <c r="AW233" s="28" t="str">
        <f aca="false">IF($A233="","",IF(N(AS232)&gt;0,AV232,AW232))</f>
        <v/>
      </c>
      <c r="AX233" s="27" t="str">
        <f aca="false">IF(OR(AU233="",AW233=""),"",(AU233-AW233)*24)</f>
        <v/>
      </c>
      <c r="AY233" s="21" t="n">
        <f aca="false">IF($A233="","",IF(N(AS233)&gt;0,N(AY232)+1,0))</f>
        <v>0</v>
      </c>
      <c r="AZ233" s="21" t="n">
        <f aca="false">IF($A233="","",IF(N(AT233)&gt;0,N(AZ232)+1,0))</f>
        <v>0</v>
      </c>
      <c r="BA233" s="21" t="str">
        <f aca="false">IF($A233="","",IF(WEEKDAY($A233,2)&lt;&gt;7,"",IF(AND(OR(AU233="",N(AU233)&gt;=$A233+16/24,N(AV233)&lt;=$A233+6/24),OR(AW233="",N(AW233)&lt;=$A233+6/24)),1,0)))</f>
        <v/>
      </c>
    </row>
    <row r="234" customFormat="false" ht="15" hidden="false" customHeight="false" outlineLevel="0" collapsed="false">
      <c r="A234" s="25" t="n">
        <f aca="false">IF(YEAR(DATE(Einstellungen!$C$4,1,1)+229)=Einstellungen!$C$4,DATE(Einstellungen!$C$4,1,1)+229,"")</f>
        <v>46617</v>
      </c>
      <c r="B234" s="26" t="str">
        <f aca="false">IF($A234="","",CHOOSE(WEEKDAY($A234,2),"Mo","Di","Mi","Do","Fr","Sa","So"))</f>
        <v>Mi</v>
      </c>
      <c r="C234" s="26" t="n">
        <f aca="false">IF($A234="","",MONTH($A234))</f>
        <v>8</v>
      </c>
      <c r="D234" s="26" t="str">
        <f aca="false">IF($A234="","",IF(INDEX(Muster!$C$6:$BF$6,1,MOD($A234-Einstellungen!$C$6,Einstellungen!$C$7)+1)="","-",INDEX(Muster!$C$6:$BF$6,1,MOD($A234-Einstellungen!$C$6,Einstellungen!$C$7)+1)))</f>
        <v>S</v>
      </c>
      <c r="E234" s="27" t="n">
        <f aca="false">IF($A234="","",IFERROR(VLOOKUP(D234,Schichten!$A$5:$G$24,6,FALSE()),0))</f>
        <v>8</v>
      </c>
      <c r="F234" s="27" t="n">
        <f aca="false">IF($A234="","",IFERROR(VLOOKUP(D234,Schichten!$A$5:$G$24,7,FALSE()),0))</f>
        <v>0</v>
      </c>
      <c r="G234" s="28" t="n">
        <f aca="false">IF($A234="","",IF(N(E234)=0,"",$A234+VLOOKUP(D234,Schichten!$A$5:$G$24,3,FALSE())))</f>
        <v>46617.5833333333</v>
      </c>
      <c r="H234" s="28" t="n">
        <f aca="false">IF(G234="","",$A234+VLOOKUP(D234,Schichten!$A$5:$G$24,4,FALSE())+IF(VLOOKUP(D234,Schichten!$A$5:$G$24,4,FALSE())&lt;=VLOOKUP(D234,Schichten!$A$5:$G$24,3,FALSE()),1,0))</f>
        <v>46617.9166666667</v>
      </c>
      <c r="I234" s="28" t="n">
        <f aca="false">IF($A234="","",IF(N(E233)&gt;0,H233,I233))</f>
        <v>46616.5833333333</v>
      </c>
      <c r="J234" s="27" t="n">
        <f aca="false">IF(OR(G234="",I234=""),"",(G234-I234)*24)</f>
        <v>24</v>
      </c>
      <c r="K234" s="21" t="n">
        <f aca="false">IF($A234="","",IF(N(E234)&gt;0,N(K233)+1,0))</f>
        <v>3</v>
      </c>
      <c r="L234" s="21" t="n">
        <f aca="false">IF($A234="","",IF(N(F234)&gt;0,N(L233)+1,0))</f>
        <v>0</v>
      </c>
      <c r="M234" s="21" t="str">
        <f aca="false">IF($A234="","",IF(WEEKDAY($A234,2)&lt;&gt;7,"",IF(AND(OR(G234="",N(G234)&gt;=$A234+16/24,N(H234)&lt;=$A234+6/24),OR(I234="",N(I234)&lt;=$A234+6/24)),1,0)))</f>
        <v/>
      </c>
      <c r="N234" s="26" t="str">
        <f aca="false">IF($A234="","",IF(INDEX(Muster!$C$7:$BF$7,1,MOD($A234-Einstellungen!$C$6,Einstellungen!$C$7)+1)="","-",INDEX(Muster!$C$7:$BF$7,1,MOD($A234-Einstellungen!$C$6,Einstellungen!$C$7)+1)))</f>
        <v>F</v>
      </c>
      <c r="O234" s="27" t="n">
        <f aca="false">IF($A234="","",IFERROR(VLOOKUP(N234,Schichten!$A$5:$G$24,6,FALSE()),0))</f>
        <v>8</v>
      </c>
      <c r="P234" s="27" t="n">
        <f aca="false">IF($A234="","",IFERROR(VLOOKUP(N234,Schichten!$A$5:$G$24,7,FALSE()),0))</f>
        <v>0</v>
      </c>
      <c r="Q234" s="28" t="n">
        <f aca="false">IF($A234="","",IF(N(O234)=0,"",$A234+VLOOKUP(N234,Schichten!$A$5:$G$24,3,FALSE())))</f>
        <v>46617.25</v>
      </c>
      <c r="R234" s="28" t="n">
        <f aca="false">IF(Q234="","",$A234+VLOOKUP(N234,Schichten!$A$5:$G$24,4,FALSE())+IF(VLOOKUP(N234,Schichten!$A$5:$G$24,4,FALSE())&lt;=VLOOKUP(N234,Schichten!$A$5:$G$24,3,FALSE()),1,0))</f>
        <v>46617.5833333333</v>
      </c>
      <c r="S234" s="28" t="n">
        <f aca="false">IF($A234="","",IF(N(O233)&gt;0,R233,S233))</f>
        <v>46615.25</v>
      </c>
      <c r="T234" s="27" t="n">
        <f aca="false">IF(OR(Q234="",S234=""),"",(Q234-S234)*24)</f>
        <v>48</v>
      </c>
      <c r="U234" s="21" t="n">
        <f aca="false">IF($A234="","",IF(N(O234)&gt;0,N(U233)+1,0))</f>
        <v>1</v>
      </c>
      <c r="V234" s="21" t="n">
        <f aca="false">IF($A234="","",IF(N(P234)&gt;0,N(V233)+1,0))</f>
        <v>0</v>
      </c>
      <c r="W234" s="21" t="str">
        <f aca="false">IF($A234="","",IF(WEEKDAY($A234,2)&lt;&gt;7,"",IF(AND(OR(Q234="",N(Q234)&gt;=$A234+16/24,N(R234)&lt;=$A234+6/24),OR(S234="",N(S234)&lt;=$A234+6/24)),1,0)))</f>
        <v/>
      </c>
      <c r="X234" s="26" t="str">
        <f aca="false">IF($A234="","",IF(INDEX(Muster!$C$8:$BF$8,1,MOD($A234-Einstellungen!$C$6,Einstellungen!$C$7)+1)="","-",INDEX(Muster!$C$8:$BF$8,1,MOD($A234-Einstellungen!$C$6,Einstellungen!$C$7)+1)))</f>
        <v>-</v>
      </c>
      <c r="Y234" s="27" t="n">
        <f aca="false">IF($A234="","",IFERROR(VLOOKUP(X234,Schichten!$A$5:$G$24,6,FALSE()),0))</f>
        <v>0</v>
      </c>
      <c r="Z234" s="27" t="n">
        <f aca="false">IF($A234="","",IFERROR(VLOOKUP(X234,Schichten!$A$5:$G$24,7,FALSE()),0))</f>
        <v>0</v>
      </c>
      <c r="AA234" s="28" t="str">
        <f aca="false">IF($A234="","",IF(N(Y234)=0,"",$A234+VLOOKUP(X234,Schichten!$A$5:$G$24,3,FALSE())))</f>
        <v/>
      </c>
      <c r="AB234" s="28" t="str">
        <f aca="false">IF(AA234="","",$A234+VLOOKUP(X234,Schichten!$A$5:$G$24,4,FALSE())+IF(VLOOKUP(X234,Schichten!$A$5:$G$24,4,FALSE())&lt;=VLOOKUP(X234,Schichten!$A$5:$G$24,3,FALSE()),1,0))</f>
        <v/>
      </c>
      <c r="AC234" s="28" t="n">
        <f aca="false">IF($A234="","",IF(N(Y233)&gt;0,AB233,AC233))</f>
        <v>46617.25</v>
      </c>
      <c r="AD234" s="27" t="str">
        <f aca="false">IF(OR(AA234="",AC234=""),"",(AA234-AC234)*24)</f>
        <v/>
      </c>
      <c r="AE234" s="21" t="n">
        <f aca="false">IF($A234="","",IF(N(Y234)&gt;0,N(AE233)+1,0))</f>
        <v>0</v>
      </c>
      <c r="AF234" s="21" t="n">
        <f aca="false">IF($A234="","",IF(N(Z234)&gt;0,N(AF233)+1,0))</f>
        <v>0</v>
      </c>
      <c r="AG234" s="21" t="str">
        <f aca="false">IF($A234="","",IF(WEEKDAY($A234,2)&lt;&gt;7,"",IF(AND(OR(AA234="",N(AA234)&gt;=$A234+16/24,N(AB234)&lt;=$A234+6/24),OR(AC234="",N(AC234)&lt;=$A234+6/24)),1,0)))</f>
        <v/>
      </c>
      <c r="AH234" s="26" t="str">
        <f aca="false">IF($A234="","",IF(INDEX(Muster!$C$9:$BF$9,1,MOD($A234-Einstellungen!$C$6,Einstellungen!$C$7)+1)="","-",INDEX(Muster!$C$9:$BF$9,1,MOD($A234-Einstellungen!$C$6,Einstellungen!$C$7)+1)))</f>
        <v>N</v>
      </c>
      <c r="AI234" s="27" t="n">
        <f aca="false">IF($A234="","",IFERROR(VLOOKUP(AH234,Schichten!$A$5:$G$24,6,FALSE()),0))</f>
        <v>8</v>
      </c>
      <c r="AJ234" s="27" t="n">
        <f aca="false">IF($A234="","",IFERROR(VLOOKUP(AH234,Schichten!$A$5:$G$24,7,FALSE()),0))</f>
        <v>7</v>
      </c>
      <c r="AK234" s="28" t="n">
        <f aca="false">IF($A234="","",IF(N(AI234)=0,"",$A234+VLOOKUP(AH234,Schichten!$A$5:$G$24,3,FALSE())))</f>
        <v>46617.9166666667</v>
      </c>
      <c r="AL234" s="28" t="n">
        <f aca="false">IF(AK234="","",$A234+VLOOKUP(AH234,Schichten!$A$5:$G$24,4,FALSE())+IF(VLOOKUP(AH234,Schichten!$A$5:$G$24,4,FALSE())&lt;=VLOOKUP(AH234,Schichten!$A$5:$G$24,3,FALSE()),1,0))</f>
        <v>46618.25</v>
      </c>
      <c r="AM234" s="28" t="n">
        <f aca="false">IF($A234="","",IF(N(AI233)&gt;0,AL233,AM233))</f>
        <v>46616.9166666667</v>
      </c>
      <c r="AN234" s="27" t="n">
        <f aca="false">IF(OR(AK234="",AM234=""),"",(AK234-AM234)*24)</f>
        <v>24</v>
      </c>
      <c r="AO234" s="21" t="n">
        <f aca="false">IF($A234="","",IF(N(AI234)&gt;0,N(AO233)+1,0))</f>
        <v>5</v>
      </c>
      <c r="AP234" s="21" t="n">
        <f aca="false">IF($A234="","",IF(N(AJ234)&gt;0,N(AP233)+1,0))</f>
        <v>1</v>
      </c>
      <c r="AQ234" s="21" t="str">
        <f aca="false">IF($A234="","",IF(WEEKDAY($A234,2)&lt;&gt;7,"",IF(AND(OR(AK234="",N(AK234)&gt;=$A234+16/24,N(AL234)&lt;=$A234+6/24),OR(AM234="",N(AM234)&lt;=$A234+6/24)),1,0)))</f>
        <v/>
      </c>
      <c r="AR234" s="26" t="str">
        <f aca="false">IF($A234="","",IF(INDEX(Muster!$C$10:$BF$10,1,MOD($A234-Einstellungen!$C$6,Einstellungen!$C$7)+1)="","-",INDEX(Muster!$C$10:$BF$10,1,MOD($A234-Einstellungen!$C$6,Einstellungen!$C$7)+1)))</f>
        <v>-</v>
      </c>
      <c r="AS234" s="27" t="n">
        <f aca="false">IF($A234="","",IFERROR(VLOOKUP(AR234,Schichten!$A$5:$G$24,6,FALSE()),0))</f>
        <v>0</v>
      </c>
      <c r="AT234" s="27" t="n">
        <f aca="false">IF($A234="","",IFERROR(VLOOKUP(AR234,Schichten!$A$5:$G$24,7,FALSE()),0))</f>
        <v>0</v>
      </c>
      <c r="AU234" s="28" t="str">
        <f aca="false">IF($A234="","",IF(N(AS234)=0,"",$A234+VLOOKUP(AR234,Schichten!$A$5:$G$24,3,FALSE())))</f>
        <v/>
      </c>
      <c r="AV234" s="28" t="str">
        <f aca="false">IF(AU234="","",$A234+VLOOKUP(AR234,Schichten!$A$5:$G$24,4,FALSE())+IF(VLOOKUP(AR234,Schichten!$A$5:$G$24,4,FALSE())&lt;=VLOOKUP(AR234,Schichten!$A$5:$G$24,3,FALSE()),1,0))</f>
        <v/>
      </c>
      <c r="AW234" s="28" t="str">
        <f aca="false">IF($A234="","",IF(N(AS233)&gt;0,AV233,AW233))</f>
        <v/>
      </c>
      <c r="AX234" s="27" t="str">
        <f aca="false">IF(OR(AU234="",AW234=""),"",(AU234-AW234)*24)</f>
        <v/>
      </c>
      <c r="AY234" s="21" t="n">
        <f aca="false">IF($A234="","",IF(N(AS234)&gt;0,N(AY233)+1,0))</f>
        <v>0</v>
      </c>
      <c r="AZ234" s="21" t="n">
        <f aca="false">IF($A234="","",IF(N(AT234)&gt;0,N(AZ233)+1,0))</f>
        <v>0</v>
      </c>
      <c r="BA234" s="21" t="str">
        <f aca="false">IF($A234="","",IF(WEEKDAY($A234,2)&lt;&gt;7,"",IF(AND(OR(AU234="",N(AU234)&gt;=$A234+16/24,N(AV234)&lt;=$A234+6/24),OR(AW234="",N(AW234)&lt;=$A234+6/24)),1,0)))</f>
        <v/>
      </c>
    </row>
    <row r="235" customFormat="false" ht="15" hidden="false" customHeight="false" outlineLevel="0" collapsed="false">
      <c r="A235" s="25" t="n">
        <f aca="false">IF(YEAR(DATE(Einstellungen!$C$4,1,1)+230)=Einstellungen!$C$4,DATE(Einstellungen!$C$4,1,1)+230,"")</f>
        <v>46618</v>
      </c>
      <c r="B235" s="26" t="str">
        <f aca="false">IF($A235="","",CHOOSE(WEEKDAY($A235,2),"Mo","Di","Mi","Do","Fr","Sa","So"))</f>
        <v>Do</v>
      </c>
      <c r="C235" s="26" t="n">
        <f aca="false">IF($A235="","",MONTH($A235))</f>
        <v>8</v>
      </c>
      <c r="D235" s="26" t="str">
        <f aca="false">IF($A235="","",IF(INDEX(Muster!$C$6:$BF$6,1,MOD($A235-Einstellungen!$C$6,Einstellungen!$C$7)+1)="","-",INDEX(Muster!$C$6:$BF$6,1,MOD($A235-Einstellungen!$C$6,Einstellungen!$C$7)+1)))</f>
        <v>S</v>
      </c>
      <c r="E235" s="27" t="n">
        <f aca="false">IF($A235="","",IFERROR(VLOOKUP(D235,Schichten!$A$5:$G$24,6,FALSE()),0))</f>
        <v>8</v>
      </c>
      <c r="F235" s="27" t="n">
        <f aca="false">IF($A235="","",IFERROR(VLOOKUP(D235,Schichten!$A$5:$G$24,7,FALSE()),0))</f>
        <v>0</v>
      </c>
      <c r="G235" s="28" t="n">
        <f aca="false">IF($A235="","",IF(N(E235)=0,"",$A235+VLOOKUP(D235,Schichten!$A$5:$G$24,3,FALSE())))</f>
        <v>46618.5833333333</v>
      </c>
      <c r="H235" s="28" t="n">
        <f aca="false">IF(G235="","",$A235+VLOOKUP(D235,Schichten!$A$5:$G$24,4,FALSE())+IF(VLOOKUP(D235,Schichten!$A$5:$G$24,4,FALSE())&lt;=VLOOKUP(D235,Schichten!$A$5:$G$24,3,FALSE()),1,0))</f>
        <v>46618.9166666667</v>
      </c>
      <c r="I235" s="28" t="n">
        <f aca="false">IF($A235="","",IF(N(E234)&gt;0,H234,I234))</f>
        <v>46617.9166666667</v>
      </c>
      <c r="J235" s="27" t="n">
        <f aca="false">IF(OR(G235="",I235=""),"",(G235-I235)*24)</f>
        <v>16</v>
      </c>
      <c r="K235" s="21" t="n">
        <f aca="false">IF($A235="","",IF(N(E235)&gt;0,N(K234)+1,0))</f>
        <v>4</v>
      </c>
      <c r="L235" s="21" t="n">
        <f aca="false">IF($A235="","",IF(N(F235)&gt;0,N(L234)+1,0))</f>
        <v>0</v>
      </c>
      <c r="M235" s="21" t="str">
        <f aca="false">IF($A235="","",IF(WEEKDAY($A235,2)&lt;&gt;7,"",IF(AND(OR(G235="",N(G235)&gt;=$A235+16/24,N(H235)&lt;=$A235+6/24),OR(I235="",N(I235)&lt;=$A235+6/24)),1,0)))</f>
        <v/>
      </c>
      <c r="N235" s="26" t="str">
        <f aca="false">IF($A235="","",IF(INDEX(Muster!$C$7:$BF$7,1,MOD($A235-Einstellungen!$C$6,Einstellungen!$C$7)+1)="","-",INDEX(Muster!$C$7:$BF$7,1,MOD($A235-Einstellungen!$C$6,Einstellungen!$C$7)+1)))</f>
        <v>F</v>
      </c>
      <c r="O235" s="27" t="n">
        <f aca="false">IF($A235="","",IFERROR(VLOOKUP(N235,Schichten!$A$5:$G$24,6,FALSE()),0))</f>
        <v>8</v>
      </c>
      <c r="P235" s="27" t="n">
        <f aca="false">IF($A235="","",IFERROR(VLOOKUP(N235,Schichten!$A$5:$G$24,7,FALSE()),0))</f>
        <v>0</v>
      </c>
      <c r="Q235" s="28" t="n">
        <f aca="false">IF($A235="","",IF(N(O235)=0,"",$A235+VLOOKUP(N235,Schichten!$A$5:$G$24,3,FALSE())))</f>
        <v>46618.25</v>
      </c>
      <c r="R235" s="28" t="n">
        <f aca="false">IF(Q235="","",$A235+VLOOKUP(N235,Schichten!$A$5:$G$24,4,FALSE())+IF(VLOOKUP(N235,Schichten!$A$5:$G$24,4,FALSE())&lt;=VLOOKUP(N235,Schichten!$A$5:$G$24,3,FALSE()),1,0))</f>
        <v>46618.5833333333</v>
      </c>
      <c r="S235" s="28" t="n">
        <f aca="false">IF($A235="","",IF(N(O234)&gt;0,R234,S234))</f>
        <v>46617.5833333333</v>
      </c>
      <c r="T235" s="27" t="n">
        <f aca="false">IF(OR(Q235="",S235=""),"",(Q235-S235)*24)</f>
        <v>16</v>
      </c>
      <c r="U235" s="21" t="n">
        <f aca="false">IF($A235="","",IF(N(O235)&gt;0,N(U234)+1,0))</f>
        <v>2</v>
      </c>
      <c r="V235" s="21" t="n">
        <f aca="false">IF($A235="","",IF(N(P235)&gt;0,N(V234)+1,0))</f>
        <v>0</v>
      </c>
      <c r="W235" s="21" t="str">
        <f aca="false">IF($A235="","",IF(WEEKDAY($A235,2)&lt;&gt;7,"",IF(AND(OR(Q235="",N(Q235)&gt;=$A235+16/24,N(R235)&lt;=$A235+6/24),OR(S235="",N(S235)&lt;=$A235+6/24)),1,0)))</f>
        <v/>
      </c>
      <c r="X235" s="26" t="str">
        <f aca="false">IF($A235="","",IF(INDEX(Muster!$C$8:$BF$8,1,MOD($A235-Einstellungen!$C$6,Einstellungen!$C$7)+1)="","-",INDEX(Muster!$C$8:$BF$8,1,MOD($A235-Einstellungen!$C$6,Einstellungen!$C$7)+1)))</f>
        <v>-</v>
      </c>
      <c r="Y235" s="27" t="n">
        <f aca="false">IF($A235="","",IFERROR(VLOOKUP(X235,Schichten!$A$5:$G$24,6,FALSE()),0))</f>
        <v>0</v>
      </c>
      <c r="Z235" s="27" t="n">
        <f aca="false">IF($A235="","",IFERROR(VLOOKUP(X235,Schichten!$A$5:$G$24,7,FALSE()),0))</f>
        <v>0</v>
      </c>
      <c r="AA235" s="28" t="str">
        <f aca="false">IF($A235="","",IF(N(Y235)=0,"",$A235+VLOOKUP(X235,Schichten!$A$5:$G$24,3,FALSE())))</f>
        <v/>
      </c>
      <c r="AB235" s="28" t="str">
        <f aca="false">IF(AA235="","",$A235+VLOOKUP(X235,Schichten!$A$5:$G$24,4,FALSE())+IF(VLOOKUP(X235,Schichten!$A$5:$G$24,4,FALSE())&lt;=VLOOKUP(X235,Schichten!$A$5:$G$24,3,FALSE()),1,0))</f>
        <v/>
      </c>
      <c r="AC235" s="28" t="n">
        <f aca="false">IF($A235="","",IF(N(Y234)&gt;0,AB234,AC234))</f>
        <v>46617.25</v>
      </c>
      <c r="AD235" s="27" t="str">
        <f aca="false">IF(OR(AA235="",AC235=""),"",(AA235-AC235)*24)</f>
        <v/>
      </c>
      <c r="AE235" s="21" t="n">
        <f aca="false">IF($A235="","",IF(N(Y235)&gt;0,N(AE234)+1,0))</f>
        <v>0</v>
      </c>
      <c r="AF235" s="21" t="n">
        <f aca="false">IF($A235="","",IF(N(Z235)&gt;0,N(AF234)+1,0))</f>
        <v>0</v>
      </c>
      <c r="AG235" s="21" t="str">
        <f aca="false">IF($A235="","",IF(WEEKDAY($A235,2)&lt;&gt;7,"",IF(AND(OR(AA235="",N(AA235)&gt;=$A235+16/24,N(AB235)&lt;=$A235+6/24),OR(AC235="",N(AC235)&lt;=$A235+6/24)),1,0)))</f>
        <v/>
      </c>
      <c r="AH235" s="26" t="str">
        <f aca="false">IF($A235="","",IF(INDEX(Muster!$C$9:$BF$9,1,MOD($A235-Einstellungen!$C$6,Einstellungen!$C$7)+1)="","-",INDEX(Muster!$C$9:$BF$9,1,MOD($A235-Einstellungen!$C$6,Einstellungen!$C$7)+1)))</f>
        <v>N</v>
      </c>
      <c r="AI235" s="27" t="n">
        <f aca="false">IF($A235="","",IFERROR(VLOOKUP(AH235,Schichten!$A$5:$G$24,6,FALSE()),0))</f>
        <v>8</v>
      </c>
      <c r="AJ235" s="27" t="n">
        <f aca="false">IF($A235="","",IFERROR(VLOOKUP(AH235,Schichten!$A$5:$G$24,7,FALSE()),0))</f>
        <v>7</v>
      </c>
      <c r="AK235" s="28" t="n">
        <f aca="false">IF($A235="","",IF(N(AI235)=0,"",$A235+VLOOKUP(AH235,Schichten!$A$5:$G$24,3,FALSE())))</f>
        <v>46618.9166666667</v>
      </c>
      <c r="AL235" s="28" t="n">
        <f aca="false">IF(AK235="","",$A235+VLOOKUP(AH235,Schichten!$A$5:$G$24,4,FALSE())+IF(VLOOKUP(AH235,Schichten!$A$5:$G$24,4,FALSE())&lt;=VLOOKUP(AH235,Schichten!$A$5:$G$24,3,FALSE()),1,0))</f>
        <v>46619.25</v>
      </c>
      <c r="AM235" s="28" t="n">
        <f aca="false">IF($A235="","",IF(N(AI234)&gt;0,AL234,AM234))</f>
        <v>46618.25</v>
      </c>
      <c r="AN235" s="27" t="n">
        <f aca="false">IF(OR(AK235="",AM235=""),"",(AK235-AM235)*24)</f>
        <v>16</v>
      </c>
      <c r="AO235" s="21" t="n">
        <f aca="false">IF($A235="","",IF(N(AI235)&gt;0,N(AO234)+1,0))</f>
        <v>6</v>
      </c>
      <c r="AP235" s="21" t="n">
        <f aca="false">IF($A235="","",IF(N(AJ235)&gt;0,N(AP234)+1,0))</f>
        <v>2</v>
      </c>
      <c r="AQ235" s="21" t="str">
        <f aca="false">IF($A235="","",IF(WEEKDAY($A235,2)&lt;&gt;7,"",IF(AND(OR(AK235="",N(AK235)&gt;=$A235+16/24,N(AL235)&lt;=$A235+6/24),OR(AM235="",N(AM235)&lt;=$A235+6/24)),1,0)))</f>
        <v/>
      </c>
      <c r="AR235" s="26" t="str">
        <f aca="false">IF($A235="","",IF(INDEX(Muster!$C$10:$BF$10,1,MOD($A235-Einstellungen!$C$6,Einstellungen!$C$7)+1)="","-",INDEX(Muster!$C$10:$BF$10,1,MOD($A235-Einstellungen!$C$6,Einstellungen!$C$7)+1)))</f>
        <v>-</v>
      </c>
      <c r="AS235" s="27" t="n">
        <f aca="false">IF($A235="","",IFERROR(VLOOKUP(AR235,Schichten!$A$5:$G$24,6,FALSE()),0))</f>
        <v>0</v>
      </c>
      <c r="AT235" s="27" t="n">
        <f aca="false">IF($A235="","",IFERROR(VLOOKUP(AR235,Schichten!$A$5:$G$24,7,FALSE()),0))</f>
        <v>0</v>
      </c>
      <c r="AU235" s="28" t="str">
        <f aca="false">IF($A235="","",IF(N(AS235)=0,"",$A235+VLOOKUP(AR235,Schichten!$A$5:$G$24,3,FALSE())))</f>
        <v/>
      </c>
      <c r="AV235" s="28" t="str">
        <f aca="false">IF(AU235="","",$A235+VLOOKUP(AR235,Schichten!$A$5:$G$24,4,FALSE())+IF(VLOOKUP(AR235,Schichten!$A$5:$G$24,4,FALSE())&lt;=VLOOKUP(AR235,Schichten!$A$5:$G$24,3,FALSE()),1,0))</f>
        <v/>
      </c>
      <c r="AW235" s="28" t="str">
        <f aca="false">IF($A235="","",IF(N(AS234)&gt;0,AV234,AW234))</f>
        <v/>
      </c>
      <c r="AX235" s="27" t="str">
        <f aca="false">IF(OR(AU235="",AW235=""),"",(AU235-AW235)*24)</f>
        <v/>
      </c>
      <c r="AY235" s="21" t="n">
        <f aca="false">IF($A235="","",IF(N(AS235)&gt;0,N(AY234)+1,0))</f>
        <v>0</v>
      </c>
      <c r="AZ235" s="21" t="n">
        <f aca="false">IF($A235="","",IF(N(AT235)&gt;0,N(AZ234)+1,0))</f>
        <v>0</v>
      </c>
      <c r="BA235" s="21" t="str">
        <f aca="false">IF($A235="","",IF(WEEKDAY($A235,2)&lt;&gt;7,"",IF(AND(OR(AU235="",N(AU235)&gt;=$A235+16/24,N(AV235)&lt;=$A235+6/24),OR(AW235="",N(AW235)&lt;=$A235+6/24)),1,0)))</f>
        <v/>
      </c>
    </row>
    <row r="236" customFormat="false" ht="15" hidden="false" customHeight="false" outlineLevel="0" collapsed="false">
      <c r="A236" s="25" t="n">
        <f aca="false">IF(YEAR(DATE(Einstellungen!$C$4,1,1)+231)=Einstellungen!$C$4,DATE(Einstellungen!$C$4,1,1)+231,"")</f>
        <v>46619</v>
      </c>
      <c r="B236" s="26" t="str">
        <f aca="false">IF($A236="","",CHOOSE(WEEKDAY($A236,2),"Mo","Di","Mi","Do","Fr","Sa","So"))</f>
        <v>Fr</v>
      </c>
      <c r="C236" s="26" t="n">
        <f aca="false">IF($A236="","",MONTH($A236))</f>
        <v>8</v>
      </c>
      <c r="D236" s="26" t="str">
        <f aca="false">IF($A236="","",IF(INDEX(Muster!$C$6:$BF$6,1,MOD($A236-Einstellungen!$C$6,Einstellungen!$C$7)+1)="","-",INDEX(Muster!$C$6:$BF$6,1,MOD($A236-Einstellungen!$C$6,Einstellungen!$C$7)+1)))</f>
        <v>N</v>
      </c>
      <c r="E236" s="27" t="n">
        <f aca="false">IF($A236="","",IFERROR(VLOOKUP(D236,Schichten!$A$5:$G$24,6,FALSE()),0))</f>
        <v>8</v>
      </c>
      <c r="F236" s="27" t="n">
        <f aca="false">IF($A236="","",IFERROR(VLOOKUP(D236,Schichten!$A$5:$G$24,7,FALSE()),0))</f>
        <v>7</v>
      </c>
      <c r="G236" s="28" t="n">
        <f aca="false">IF($A236="","",IF(N(E236)=0,"",$A236+VLOOKUP(D236,Schichten!$A$5:$G$24,3,FALSE())))</f>
        <v>46619.9166666667</v>
      </c>
      <c r="H236" s="28" t="n">
        <f aca="false">IF(G236="","",$A236+VLOOKUP(D236,Schichten!$A$5:$G$24,4,FALSE())+IF(VLOOKUP(D236,Schichten!$A$5:$G$24,4,FALSE())&lt;=VLOOKUP(D236,Schichten!$A$5:$G$24,3,FALSE()),1,0))</f>
        <v>46620.25</v>
      </c>
      <c r="I236" s="28" t="n">
        <f aca="false">IF($A236="","",IF(N(E235)&gt;0,H235,I235))</f>
        <v>46618.9166666667</v>
      </c>
      <c r="J236" s="27" t="n">
        <f aca="false">IF(OR(G236="",I236=""),"",(G236-I236)*24)</f>
        <v>24</v>
      </c>
      <c r="K236" s="21" t="n">
        <f aca="false">IF($A236="","",IF(N(E236)&gt;0,N(K235)+1,0))</f>
        <v>5</v>
      </c>
      <c r="L236" s="21" t="n">
        <f aca="false">IF($A236="","",IF(N(F236)&gt;0,N(L235)+1,0))</f>
        <v>1</v>
      </c>
      <c r="M236" s="21" t="str">
        <f aca="false">IF($A236="","",IF(WEEKDAY($A236,2)&lt;&gt;7,"",IF(AND(OR(G236="",N(G236)&gt;=$A236+16/24,N(H236)&lt;=$A236+6/24),OR(I236="",N(I236)&lt;=$A236+6/24)),1,0)))</f>
        <v/>
      </c>
      <c r="N236" s="26" t="str">
        <f aca="false">IF($A236="","",IF(INDEX(Muster!$C$7:$BF$7,1,MOD($A236-Einstellungen!$C$6,Einstellungen!$C$7)+1)="","-",INDEX(Muster!$C$7:$BF$7,1,MOD($A236-Einstellungen!$C$6,Einstellungen!$C$7)+1)))</f>
        <v>S</v>
      </c>
      <c r="O236" s="27" t="n">
        <f aca="false">IF($A236="","",IFERROR(VLOOKUP(N236,Schichten!$A$5:$G$24,6,FALSE()),0))</f>
        <v>8</v>
      </c>
      <c r="P236" s="27" t="n">
        <f aca="false">IF($A236="","",IFERROR(VLOOKUP(N236,Schichten!$A$5:$G$24,7,FALSE()),0))</f>
        <v>0</v>
      </c>
      <c r="Q236" s="28" t="n">
        <f aca="false">IF($A236="","",IF(N(O236)=0,"",$A236+VLOOKUP(N236,Schichten!$A$5:$G$24,3,FALSE())))</f>
        <v>46619.5833333333</v>
      </c>
      <c r="R236" s="28" t="n">
        <f aca="false">IF(Q236="","",$A236+VLOOKUP(N236,Schichten!$A$5:$G$24,4,FALSE())+IF(VLOOKUP(N236,Schichten!$A$5:$G$24,4,FALSE())&lt;=VLOOKUP(N236,Schichten!$A$5:$G$24,3,FALSE()),1,0))</f>
        <v>46619.9166666667</v>
      </c>
      <c r="S236" s="28" t="n">
        <f aca="false">IF($A236="","",IF(N(O235)&gt;0,R235,S235))</f>
        <v>46618.5833333333</v>
      </c>
      <c r="T236" s="27" t="n">
        <f aca="false">IF(OR(Q236="",S236=""),"",(Q236-S236)*24)</f>
        <v>24</v>
      </c>
      <c r="U236" s="21" t="n">
        <f aca="false">IF($A236="","",IF(N(O236)&gt;0,N(U235)+1,0))</f>
        <v>3</v>
      </c>
      <c r="V236" s="21" t="n">
        <f aca="false">IF($A236="","",IF(N(P236)&gt;0,N(V235)+1,0))</f>
        <v>0</v>
      </c>
      <c r="W236" s="21" t="str">
        <f aca="false">IF($A236="","",IF(WEEKDAY($A236,2)&lt;&gt;7,"",IF(AND(OR(Q236="",N(Q236)&gt;=$A236+16/24,N(R236)&lt;=$A236+6/24),OR(S236="",N(S236)&lt;=$A236+6/24)),1,0)))</f>
        <v/>
      </c>
      <c r="X236" s="26" t="str">
        <f aca="false">IF($A236="","",IF(INDEX(Muster!$C$8:$BF$8,1,MOD($A236-Einstellungen!$C$6,Einstellungen!$C$7)+1)="","-",INDEX(Muster!$C$8:$BF$8,1,MOD($A236-Einstellungen!$C$6,Einstellungen!$C$7)+1)))</f>
        <v>F</v>
      </c>
      <c r="Y236" s="27" t="n">
        <f aca="false">IF($A236="","",IFERROR(VLOOKUP(X236,Schichten!$A$5:$G$24,6,FALSE()),0))</f>
        <v>8</v>
      </c>
      <c r="Z236" s="27" t="n">
        <f aca="false">IF($A236="","",IFERROR(VLOOKUP(X236,Schichten!$A$5:$G$24,7,FALSE()),0))</f>
        <v>0</v>
      </c>
      <c r="AA236" s="28" t="n">
        <f aca="false">IF($A236="","",IF(N(Y236)=0,"",$A236+VLOOKUP(X236,Schichten!$A$5:$G$24,3,FALSE())))</f>
        <v>46619.25</v>
      </c>
      <c r="AB236" s="28" t="n">
        <f aca="false">IF(AA236="","",$A236+VLOOKUP(X236,Schichten!$A$5:$G$24,4,FALSE())+IF(VLOOKUP(X236,Schichten!$A$5:$G$24,4,FALSE())&lt;=VLOOKUP(X236,Schichten!$A$5:$G$24,3,FALSE()),1,0))</f>
        <v>46619.5833333333</v>
      </c>
      <c r="AC236" s="28" t="n">
        <f aca="false">IF($A236="","",IF(N(Y235)&gt;0,AB235,AC235))</f>
        <v>46617.25</v>
      </c>
      <c r="AD236" s="27" t="n">
        <f aca="false">IF(OR(AA236="",AC236=""),"",(AA236-AC236)*24)</f>
        <v>48</v>
      </c>
      <c r="AE236" s="21" t="n">
        <f aca="false">IF($A236="","",IF(N(Y236)&gt;0,N(AE235)+1,0))</f>
        <v>1</v>
      </c>
      <c r="AF236" s="21" t="n">
        <f aca="false">IF($A236="","",IF(N(Z236)&gt;0,N(AF235)+1,0))</f>
        <v>0</v>
      </c>
      <c r="AG236" s="21" t="str">
        <f aca="false">IF($A236="","",IF(WEEKDAY($A236,2)&lt;&gt;7,"",IF(AND(OR(AA236="",N(AA236)&gt;=$A236+16/24,N(AB236)&lt;=$A236+6/24),OR(AC236="",N(AC236)&lt;=$A236+6/24)),1,0)))</f>
        <v/>
      </c>
      <c r="AH236" s="26" t="str">
        <f aca="false">IF($A236="","",IF(INDEX(Muster!$C$9:$BF$9,1,MOD($A236-Einstellungen!$C$6,Einstellungen!$C$7)+1)="","-",INDEX(Muster!$C$9:$BF$9,1,MOD($A236-Einstellungen!$C$6,Einstellungen!$C$7)+1)))</f>
        <v>-</v>
      </c>
      <c r="AI236" s="27" t="n">
        <f aca="false">IF($A236="","",IFERROR(VLOOKUP(AH236,Schichten!$A$5:$G$24,6,FALSE()),0))</f>
        <v>0</v>
      </c>
      <c r="AJ236" s="27" t="n">
        <f aca="false">IF($A236="","",IFERROR(VLOOKUP(AH236,Schichten!$A$5:$G$24,7,FALSE()),0))</f>
        <v>0</v>
      </c>
      <c r="AK236" s="28" t="str">
        <f aca="false">IF($A236="","",IF(N(AI236)=0,"",$A236+VLOOKUP(AH236,Schichten!$A$5:$G$24,3,FALSE())))</f>
        <v/>
      </c>
      <c r="AL236" s="28" t="str">
        <f aca="false">IF(AK236="","",$A236+VLOOKUP(AH236,Schichten!$A$5:$G$24,4,FALSE())+IF(VLOOKUP(AH236,Schichten!$A$5:$G$24,4,FALSE())&lt;=VLOOKUP(AH236,Schichten!$A$5:$G$24,3,FALSE()),1,0))</f>
        <v/>
      </c>
      <c r="AM236" s="28" t="n">
        <f aca="false">IF($A236="","",IF(N(AI235)&gt;0,AL235,AM235))</f>
        <v>46619.25</v>
      </c>
      <c r="AN236" s="27" t="str">
        <f aca="false">IF(OR(AK236="",AM236=""),"",(AK236-AM236)*24)</f>
        <v/>
      </c>
      <c r="AO236" s="21" t="n">
        <f aca="false">IF($A236="","",IF(N(AI236)&gt;0,N(AO235)+1,0))</f>
        <v>0</v>
      </c>
      <c r="AP236" s="21" t="n">
        <f aca="false">IF($A236="","",IF(N(AJ236)&gt;0,N(AP235)+1,0))</f>
        <v>0</v>
      </c>
      <c r="AQ236" s="21" t="str">
        <f aca="false">IF($A236="","",IF(WEEKDAY($A236,2)&lt;&gt;7,"",IF(AND(OR(AK236="",N(AK236)&gt;=$A236+16/24,N(AL236)&lt;=$A236+6/24),OR(AM236="",N(AM236)&lt;=$A236+6/24)),1,0)))</f>
        <v/>
      </c>
      <c r="AR236" s="26" t="str">
        <f aca="false">IF($A236="","",IF(INDEX(Muster!$C$10:$BF$10,1,MOD($A236-Einstellungen!$C$6,Einstellungen!$C$7)+1)="","-",INDEX(Muster!$C$10:$BF$10,1,MOD($A236-Einstellungen!$C$6,Einstellungen!$C$7)+1)))</f>
        <v>-</v>
      </c>
      <c r="AS236" s="27" t="n">
        <f aca="false">IF($A236="","",IFERROR(VLOOKUP(AR236,Schichten!$A$5:$G$24,6,FALSE()),0))</f>
        <v>0</v>
      </c>
      <c r="AT236" s="27" t="n">
        <f aca="false">IF($A236="","",IFERROR(VLOOKUP(AR236,Schichten!$A$5:$G$24,7,FALSE()),0))</f>
        <v>0</v>
      </c>
      <c r="AU236" s="28" t="str">
        <f aca="false">IF($A236="","",IF(N(AS236)=0,"",$A236+VLOOKUP(AR236,Schichten!$A$5:$G$24,3,FALSE())))</f>
        <v/>
      </c>
      <c r="AV236" s="28" t="str">
        <f aca="false">IF(AU236="","",$A236+VLOOKUP(AR236,Schichten!$A$5:$G$24,4,FALSE())+IF(VLOOKUP(AR236,Schichten!$A$5:$G$24,4,FALSE())&lt;=VLOOKUP(AR236,Schichten!$A$5:$G$24,3,FALSE()),1,0))</f>
        <v/>
      </c>
      <c r="AW236" s="28" t="str">
        <f aca="false">IF($A236="","",IF(N(AS235)&gt;0,AV235,AW235))</f>
        <v/>
      </c>
      <c r="AX236" s="27" t="str">
        <f aca="false">IF(OR(AU236="",AW236=""),"",(AU236-AW236)*24)</f>
        <v/>
      </c>
      <c r="AY236" s="21" t="n">
        <f aca="false">IF($A236="","",IF(N(AS236)&gt;0,N(AY235)+1,0))</f>
        <v>0</v>
      </c>
      <c r="AZ236" s="21" t="n">
        <f aca="false">IF($A236="","",IF(N(AT236)&gt;0,N(AZ235)+1,0))</f>
        <v>0</v>
      </c>
      <c r="BA236" s="21" t="str">
        <f aca="false">IF($A236="","",IF(WEEKDAY($A236,2)&lt;&gt;7,"",IF(AND(OR(AU236="",N(AU236)&gt;=$A236+16/24,N(AV236)&lt;=$A236+6/24),OR(AW236="",N(AW236)&lt;=$A236+6/24)),1,0)))</f>
        <v/>
      </c>
    </row>
    <row r="237" customFormat="false" ht="15" hidden="false" customHeight="false" outlineLevel="0" collapsed="false">
      <c r="A237" s="25" t="n">
        <f aca="false">IF(YEAR(DATE(Einstellungen!$C$4,1,1)+232)=Einstellungen!$C$4,DATE(Einstellungen!$C$4,1,1)+232,"")</f>
        <v>46620</v>
      </c>
      <c r="B237" s="26" t="str">
        <f aca="false">IF($A237="","",CHOOSE(WEEKDAY($A237,2),"Mo","Di","Mi","Do","Fr","Sa","So"))</f>
        <v>Sa</v>
      </c>
      <c r="C237" s="26" t="n">
        <f aca="false">IF($A237="","",MONTH($A237))</f>
        <v>8</v>
      </c>
      <c r="D237" s="26" t="str">
        <f aca="false">IF($A237="","",IF(INDEX(Muster!$C$6:$BF$6,1,MOD($A237-Einstellungen!$C$6,Einstellungen!$C$7)+1)="","-",INDEX(Muster!$C$6:$BF$6,1,MOD($A237-Einstellungen!$C$6,Einstellungen!$C$7)+1)))</f>
        <v>N</v>
      </c>
      <c r="E237" s="27" t="n">
        <f aca="false">IF($A237="","",IFERROR(VLOOKUP(D237,Schichten!$A$5:$G$24,6,FALSE()),0))</f>
        <v>8</v>
      </c>
      <c r="F237" s="27" t="n">
        <f aca="false">IF($A237="","",IFERROR(VLOOKUP(D237,Schichten!$A$5:$G$24,7,FALSE()),0))</f>
        <v>7</v>
      </c>
      <c r="G237" s="28" t="n">
        <f aca="false">IF($A237="","",IF(N(E237)=0,"",$A237+VLOOKUP(D237,Schichten!$A$5:$G$24,3,FALSE())))</f>
        <v>46620.9166666667</v>
      </c>
      <c r="H237" s="28" t="n">
        <f aca="false">IF(G237="","",$A237+VLOOKUP(D237,Schichten!$A$5:$G$24,4,FALSE())+IF(VLOOKUP(D237,Schichten!$A$5:$G$24,4,FALSE())&lt;=VLOOKUP(D237,Schichten!$A$5:$G$24,3,FALSE()),1,0))</f>
        <v>46621.25</v>
      </c>
      <c r="I237" s="28" t="n">
        <f aca="false">IF($A237="","",IF(N(E236)&gt;0,H236,I236))</f>
        <v>46620.25</v>
      </c>
      <c r="J237" s="27" t="n">
        <f aca="false">IF(OR(G237="",I237=""),"",(G237-I237)*24)</f>
        <v>16</v>
      </c>
      <c r="K237" s="21" t="n">
        <f aca="false">IF($A237="","",IF(N(E237)&gt;0,N(K236)+1,0))</f>
        <v>6</v>
      </c>
      <c r="L237" s="21" t="n">
        <f aca="false">IF($A237="","",IF(N(F237)&gt;0,N(L236)+1,0))</f>
        <v>2</v>
      </c>
      <c r="M237" s="21" t="str">
        <f aca="false">IF($A237="","",IF(WEEKDAY($A237,2)&lt;&gt;7,"",IF(AND(OR(G237="",N(G237)&gt;=$A237+16/24,N(H237)&lt;=$A237+6/24),OR(I237="",N(I237)&lt;=$A237+6/24)),1,0)))</f>
        <v/>
      </c>
      <c r="N237" s="26" t="str">
        <f aca="false">IF($A237="","",IF(INDEX(Muster!$C$7:$BF$7,1,MOD($A237-Einstellungen!$C$6,Einstellungen!$C$7)+1)="","-",INDEX(Muster!$C$7:$BF$7,1,MOD($A237-Einstellungen!$C$6,Einstellungen!$C$7)+1)))</f>
        <v>S</v>
      </c>
      <c r="O237" s="27" t="n">
        <f aca="false">IF($A237="","",IFERROR(VLOOKUP(N237,Schichten!$A$5:$G$24,6,FALSE()),0))</f>
        <v>8</v>
      </c>
      <c r="P237" s="27" t="n">
        <f aca="false">IF($A237="","",IFERROR(VLOOKUP(N237,Schichten!$A$5:$G$24,7,FALSE()),0))</f>
        <v>0</v>
      </c>
      <c r="Q237" s="28" t="n">
        <f aca="false">IF($A237="","",IF(N(O237)=0,"",$A237+VLOOKUP(N237,Schichten!$A$5:$G$24,3,FALSE())))</f>
        <v>46620.5833333333</v>
      </c>
      <c r="R237" s="28" t="n">
        <f aca="false">IF(Q237="","",$A237+VLOOKUP(N237,Schichten!$A$5:$G$24,4,FALSE())+IF(VLOOKUP(N237,Schichten!$A$5:$G$24,4,FALSE())&lt;=VLOOKUP(N237,Schichten!$A$5:$G$24,3,FALSE()),1,0))</f>
        <v>46620.9166666667</v>
      </c>
      <c r="S237" s="28" t="n">
        <f aca="false">IF($A237="","",IF(N(O236)&gt;0,R236,S236))</f>
        <v>46619.9166666667</v>
      </c>
      <c r="T237" s="27" t="n">
        <f aca="false">IF(OR(Q237="",S237=""),"",(Q237-S237)*24)</f>
        <v>16</v>
      </c>
      <c r="U237" s="21" t="n">
        <f aca="false">IF($A237="","",IF(N(O237)&gt;0,N(U236)+1,0))</f>
        <v>4</v>
      </c>
      <c r="V237" s="21" t="n">
        <f aca="false">IF($A237="","",IF(N(P237)&gt;0,N(V236)+1,0))</f>
        <v>0</v>
      </c>
      <c r="W237" s="21" t="str">
        <f aca="false">IF($A237="","",IF(WEEKDAY($A237,2)&lt;&gt;7,"",IF(AND(OR(Q237="",N(Q237)&gt;=$A237+16/24,N(R237)&lt;=$A237+6/24),OR(S237="",N(S237)&lt;=$A237+6/24)),1,0)))</f>
        <v/>
      </c>
      <c r="X237" s="26" t="str">
        <f aca="false">IF($A237="","",IF(INDEX(Muster!$C$8:$BF$8,1,MOD($A237-Einstellungen!$C$6,Einstellungen!$C$7)+1)="","-",INDEX(Muster!$C$8:$BF$8,1,MOD($A237-Einstellungen!$C$6,Einstellungen!$C$7)+1)))</f>
        <v>F</v>
      </c>
      <c r="Y237" s="27" t="n">
        <f aca="false">IF($A237="","",IFERROR(VLOOKUP(X237,Schichten!$A$5:$G$24,6,FALSE()),0))</f>
        <v>8</v>
      </c>
      <c r="Z237" s="27" t="n">
        <f aca="false">IF($A237="","",IFERROR(VLOOKUP(X237,Schichten!$A$5:$G$24,7,FALSE()),0))</f>
        <v>0</v>
      </c>
      <c r="AA237" s="28" t="n">
        <f aca="false">IF($A237="","",IF(N(Y237)=0,"",$A237+VLOOKUP(X237,Schichten!$A$5:$G$24,3,FALSE())))</f>
        <v>46620.25</v>
      </c>
      <c r="AB237" s="28" t="n">
        <f aca="false">IF(AA237="","",$A237+VLOOKUP(X237,Schichten!$A$5:$G$24,4,FALSE())+IF(VLOOKUP(X237,Schichten!$A$5:$G$24,4,FALSE())&lt;=VLOOKUP(X237,Schichten!$A$5:$G$24,3,FALSE()),1,0))</f>
        <v>46620.5833333333</v>
      </c>
      <c r="AC237" s="28" t="n">
        <f aca="false">IF($A237="","",IF(N(Y236)&gt;0,AB236,AC236))</f>
        <v>46619.5833333333</v>
      </c>
      <c r="AD237" s="27" t="n">
        <f aca="false">IF(OR(AA237="",AC237=""),"",(AA237-AC237)*24)</f>
        <v>16</v>
      </c>
      <c r="AE237" s="21" t="n">
        <f aca="false">IF($A237="","",IF(N(Y237)&gt;0,N(AE236)+1,0))</f>
        <v>2</v>
      </c>
      <c r="AF237" s="21" t="n">
        <f aca="false">IF($A237="","",IF(N(Z237)&gt;0,N(AF236)+1,0))</f>
        <v>0</v>
      </c>
      <c r="AG237" s="21" t="str">
        <f aca="false">IF($A237="","",IF(WEEKDAY($A237,2)&lt;&gt;7,"",IF(AND(OR(AA237="",N(AA237)&gt;=$A237+16/24,N(AB237)&lt;=$A237+6/24),OR(AC237="",N(AC237)&lt;=$A237+6/24)),1,0)))</f>
        <v/>
      </c>
      <c r="AH237" s="26" t="str">
        <f aca="false">IF($A237="","",IF(INDEX(Muster!$C$9:$BF$9,1,MOD($A237-Einstellungen!$C$6,Einstellungen!$C$7)+1)="","-",INDEX(Muster!$C$9:$BF$9,1,MOD($A237-Einstellungen!$C$6,Einstellungen!$C$7)+1)))</f>
        <v>-</v>
      </c>
      <c r="AI237" s="27" t="n">
        <f aca="false">IF($A237="","",IFERROR(VLOOKUP(AH237,Schichten!$A$5:$G$24,6,FALSE()),0))</f>
        <v>0</v>
      </c>
      <c r="AJ237" s="27" t="n">
        <f aca="false">IF($A237="","",IFERROR(VLOOKUP(AH237,Schichten!$A$5:$G$24,7,FALSE()),0))</f>
        <v>0</v>
      </c>
      <c r="AK237" s="28" t="str">
        <f aca="false">IF($A237="","",IF(N(AI237)=0,"",$A237+VLOOKUP(AH237,Schichten!$A$5:$G$24,3,FALSE())))</f>
        <v/>
      </c>
      <c r="AL237" s="28" t="str">
        <f aca="false">IF(AK237="","",$A237+VLOOKUP(AH237,Schichten!$A$5:$G$24,4,FALSE())+IF(VLOOKUP(AH237,Schichten!$A$5:$G$24,4,FALSE())&lt;=VLOOKUP(AH237,Schichten!$A$5:$G$24,3,FALSE()),1,0))</f>
        <v/>
      </c>
      <c r="AM237" s="28" t="n">
        <f aca="false">IF($A237="","",IF(N(AI236)&gt;0,AL236,AM236))</f>
        <v>46619.25</v>
      </c>
      <c r="AN237" s="27" t="str">
        <f aca="false">IF(OR(AK237="",AM237=""),"",(AK237-AM237)*24)</f>
        <v/>
      </c>
      <c r="AO237" s="21" t="n">
        <f aca="false">IF($A237="","",IF(N(AI237)&gt;0,N(AO236)+1,0))</f>
        <v>0</v>
      </c>
      <c r="AP237" s="21" t="n">
        <f aca="false">IF($A237="","",IF(N(AJ237)&gt;0,N(AP236)+1,0))</f>
        <v>0</v>
      </c>
      <c r="AQ237" s="21" t="str">
        <f aca="false">IF($A237="","",IF(WEEKDAY($A237,2)&lt;&gt;7,"",IF(AND(OR(AK237="",N(AK237)&gt;=$A237+16/24,N(AL237)&lt;=$A237+6/24),OR(AM237="",N(AM237)&lt;=$A237+6/24)),1,0)))</f>
        <v/>
      </c>
      <c r="AR237" s="26" t="str">
        <f aca="false">IF($A237="","",IF(INDEX(Muster!$C$10:$BF$10,1,MOD($A237-Einstellungen!$C$6,Einstellungen!$C$7)+1)="","-",INDEX(Muster!$C$10:$BF$10,1,MOD($A237-Einstellungen!$C$6,Einstellungen!$C$7)+1)))</f>
        <v>-</v>
      </c>
      <c r="AS237" s="27" t="n">
        <f aca="false">IF($A237="","",IFERROR(VLOOKUP(AR237,Schichten!$A$5:$G$24,6,FALSE()),0))</f>
        <v>0</v>
      </c>
      <c r="AT237" s="27" t="n">
        <f aca="false">IF($A237="","",IFERROR(VLOOKUP(AR237,Schichten!$A$5:$G$24,7,FALSE()),0))</f>
        <v>0</v>
      </c>
      <c r="AU237" s="28" t="str">
        <f aca="false">IF($A237="","",IF(N(AS237)=0,"",$A237+VLOOKUP(AR237,Schichten!$A$5:$G$24,3,FALSE())))</f>
        <v/>
      </c>
      <c r="AV237" s="28" t="str">
        <f aca="false">IF(AU237="","",$A237+VLOOKUP(AR237,Schichten!$A$5:$G$24,4,FALSE())+IF(VLOOKUP(AR237,Schichten!$A$5:$G$24,4,FALSE())&lt;=VLOOKUP(AR237,Schichten!$A$5:$G$24,3,FALSE()),1,0))</f>
        <v/>
      </c>
      <c r="AW237" s="28" t="str">
        <f aca="false">IF($A237="","",IF(N(AS236)&gt;0,AV236,AW236))</f>
        <v/>
      </c>
      <c r="AX237" s="27" t="str">
        <f aca="false">IF(OR(AU237="",AW237=""),"",(AU237-AW237)*24)</f>
        <v/>
      </c>
      <c r="AY237" s="21" t="n">
        <f aca="false">IF($A237="","",IF(N(AS237)&gt;0,N(AY236)+1,0))</f>
        <v>0</v>
      </c>
      <c r="AZ237" s="21" t="n">
        <f aca="false">IF($A237="","",IF(N(AT237)&gt;0,N(AZ236)+1,0))</f>
        <v>0</v>
      </c>
      <c r="BA237" s="21" t="str">
        <f aca="false">IF($A237="","",IF(WEEKDAY($A237,2)&lt;&gt;7,"",IF(AND(OR(AU237="",N(AU237)&gt;=$A237+16/24,N(AV237)&lt;=$A237+6/24),OR(AW237="",N(AW237)&lt;=$A237+6/24)),1,0)))</f>
        <v/>
      </c>
    </row>
    <row r="238" customFormat="false" ht="15" hidden="false" customHeight="false" outlineLevel="0" collapsed="false">
      <c r="A238" s="25" t="n">
        <f aca="false">IF(YEAR(DATE(Einstellungen!$C$4,1,1)+233)=Einstellungen!$C$4,DATE(Einstellungen!$C$4,1,1)+233,"")</f>
        <v>46621</v>
      </c>
      <c r="B238" s="26" t="str">
        <f aca="false">IF($A238="","",CHOOSE(WEEKDAY($A238,2),"Mo","Di","Mi","Do","Fr","Sa","So"))</f>
        <v>So</v>
      </c>
      <c r="C238" s="26" t="n">
        <f aca="false">IF($A238="","",MONTH($A238))</f>
        <v>8</v>
      </c>
      <c r="D238" s="26" t="str">
        <f aca="false">IF($A238="","",IF(INDEX(Muster!$C$6:$BF$6,1,MOD($A238-Einstellungen!$C$6,Einstellungen!$C$7)+1)="","-",INDEX(Muster!$C$6:$BF$6,1,MOD($A238-Einstellungen!$C$6,Einstellungen!$C$7)+1)))</f>
        <v>-</v>
      </c>
      <c r="E238" s="27" t="n">
        <f aca="false">IF($A238="","",IFERROR(VLOOKUP(D238,Schichten!$A$5:$G$24,6,FALSE()),0))</f>
        <v>0</v>
      </c>
      <c r="F238" s="27" t="n">
        <f aca="false">IF($A238="","",IFERROR(VLOOKUP(D238,Schichten!$A$5:$G$24,7,FALSE()),0))</f>
        <v>0</v>
      </c>
      <c r="G238" s="28" t="str">
        <f aca="false">IF($A238="","",IF(N(E238)=0,"",$A238+VLOOKUP(D238,Schichten!$A$5:$G$24,3,FALSE())))</f>
        <v/>
      </c>
      <c r="H238" s="28" t="str">
        <f aca="false">IF(G238="","",$A238+VLOOKUP(D238,Schichten!$A$5:$G$24,4,FALSE())+IF(VLOOKUP(D238,Schichten!$A$5:$G$24,4,FALSE())&lt;=VLOOKUP(D238,Schichten!$A$5:$G$24,3,FALSE()),1,0))</f>
        <v/>
      </c>
      <c r="I238" s="28" t="n">
        <f aca="false">IF($A238="","",IF(N(E237)&gt;0,H237,I237))</f>
        <v>46621.25</v>
      </c>
      <c r="J238" s="27" t="str">
        <f aca="false">IF(OR(G238="",I238=""),"",(G238-I238)*24)</f>
        <v/>
      </c>
      <c r="K238" s="21" t="n">
        <f aca="false">IF($A238="","",IF(N(E238)&gt;0,N(K237)+1,0))</f>
        <v>0</v>
      </c>
      <c r="L238" s="21" t="n">
        <f aca="false">IF($A238="","",IF(N(F238)&gt;0,N(L237)+1,0))</f>
        <v>0</v>
      </c>
      <c r="M238" s="21" t="n">
        <f aca="false">IF($A238="","",IF(WEEKDAY($A238,2)&lt;&gt;7,"",IF(AND(OR(G238="",N(G238)&gt;=$A238+16/24,N(H238)&lt;=$A238+6/24),OR(I238="",N(I238)&lt;=$A238+6/24)),1,0)))</f>
        <v>1</v>
      </c>
      <c r="N238" s="26" t="str">
        <f aca="false">IF($A238="","",IF(INDEX(Muster!$C$7:$BF$7,1,MOD($A238-Einstellungen!$C$6,Einstellungen!$C$7)+1)="","-",INDEX(Muster!$C$7:$BF$7,1,MOD($A238-Einstellungen!$C$6,Einstellungen!$C$7)+1)))</f>
        <v>N</v>
      </c>
      <c r="O238" s="27" t="n">
        <f aca="false">IF($A238="","",IFERROR(VLOOKUP(N238,Schichten!$A$5:$G$24,6,FALSE()),0))</f>
        <v>8</v>
      </c>
      <c r="P238" s="27" t="n">
        <f aca="false">IF($A238="","",IFERROR(VLOOKUP(N238,Schichten!$A$5:$G$24,7,FALSE()),0))</f>
        <v>7</v>
      </c>
      <c r="Q238" s="28" t="n">
        <f aca="false">IF($A238="","",IF(N(O238)=0,"",$A238+VLOOKUP(N238,Schichten!$A$5:$G$24,3,FALSE())))</f>
        <v>46621.9166666667</v>
      </c>
      <c r="R238" s="28" t="n">
        <f aca="false">IF(Q238="","",$A238+VLOOKUP(N238,Schichten!$A$5:$G$24,4,FALSE())+IF(VLOOKUP(N238,Schichten!$A$5:$G$24,4,FALSE())&lt;=VLOOKUP(N238,Schichten!$A$5:$G$24,3,FALSE()),1,0))</f>
        <v>46622.25</v>
      </c>
      <c r="S238" s="28" t="n">
        <f aca="false">IF($A238="","",IF(N(O237)&gt;0,R237,S237))</f>
        <v>46620.9166666667</v>
      </c>
      <c r="T238" s="27" t="n">
        <f aca="false">IF(OR(Q238="",S238=""),"",(Q238-S238)*24)</f>
        <v>24</v>
      </c>
      <c r="U238" s="21" t="n">
        <f aca="false">IF($A238="","",IF(N(O238)&gt;0,N(U237)+1,0))</f>
        <v>5</v>
      </c>
      <c r="V238" s="21" t="n">
        <f aca="false">IF($A238="","",IF(N(P238)&gt;0,N(V237)+1,0))</f>
        <v>1</v>
      </c>
      <c r="W238" s="21" t="n">
        <f aca="false">IF($A238="","",IF(WEEKDAY($A238,2)&lt;&gt;7,"",IF(AND(OR(Q238="",N(Q238)&gt;=$A238+16/24,N(R238)&lt;=$A238+6/24),OR(S238="",N(S238)&lt;=$A238+6/24)),1,0)))</f>
        <v>1</v>
      </c>
      <c r="X238" s="26" t="str">
        <f aca="false">IF($A238="","",IF(INDEX(Muster!$C$8:$BF$8,1,MOD($A238-Einstellungen!$C$6,Einstellungen!$C$7)+1)="","-",INDEX(Muster!$C$8:$BF$8,1,MOD($A238-Einstellungen!$C$6,Einstellungen!$C$7)+1)))</f>
        <v>S</v>
      </c>
      <c r="Y238" s="27" t="n">
        <f aca="false">IF($A238="","",IFERROR(VLOOKUP(X238,Schichten!$A$5:$G$24,6,FALSE()),0))</f>
        <v>8</v>
      </c>
      <c r="Z238" s="27" t="n">
        <f aca="false">IF($A238="","",IFERROR(VLOOKUP(X238,Schichten!$A$5:$G$24,7,FALSE()),0))</f>
        <v>0</v>
      </c>
      <c r="AA238" s="28" t="n">
        <f aca="false">IF($A238="","",IF(N(Y238)=0,"",$A238+VLOOKUP(X238,Schichten!$A$5:$G$24,3,FALSE())))</f>
        <v>46621.5833333333</v>
      </c>
      <c r="AB238" s="28" t="n">
        <f aca="false">IF(AA238="","",$A238+VLOOKUP(X238,Schichten!$A$5:$G$24,4,FALSE())+IF(VLOOKUP(X238,Schichten!$A$5:$G$24,4,FALSE())&lt;=VLOOKUP(X238,Schichten!$A$5:$G$24,3,FALSE()),1,0))</f>
        <v>46621.9166666667</v>
      </c>
      <c r="AC238" s="28" t="n">
        <f aca="false">IF($A238="","",IF(N(Y237)&gt;0,AB237,AC237))</f>
        <v>46620.5833333333</v>
      </c>
      <c r="AD238" s="27" t="n">
        <f aca="false">IF(OR(AA238="",AC238=""),"",(AA238-AC238)*24)</f>
        <v>24</v>
      </c>
      <c r="AE238" s="21" t="n">
        <f aca="false">IF($A238="","",IF(N(Y238)&gt;0,N(AE237)+1,0))</f>
        <v>3</v>
      </c>
      <c r="AF238" s="21" t="n">
        <f aca="false">IF($A238="","",IF(N(Z238)&gt;0,N(AF237)+1,0))</f>
        <v>0</v>
      </c>
      <c r="AG238" s="21" t="n">
        <f aca="false">IF($A238="","",IF(WEEKDAY($A238,2)&lt;&gt;7,"",IF(AND(OR(AA238="",N(AA238)&gt;=$A238+16/24,N(AB238)&lt;=$A238+6/24),OR(AC238="",N(AC238)&lt;=$A238+6/24)),1,0)))</f>
        <v>0</v>
      </c>
      <c r="AH238" s="26" t="str">
        <f aca="false">IF($A238="","",IF(INDEX(Muster!$C$9:$BF$9,1,MOD($A238-Einstellungen!$C$6,Einstellungen!$C$7)+1)="","-",INDEX(Muster!$C$9:$BF$9,1,MOD($A238-Einstellungen!$C$6,Einstellungen!$C$7)+1)))</f>
        <v>F</v>
      </c>
      <c r="AI238" s="27" t="n">
        <f aca="false">IF($A238="","",IFERROR(VLOOKUP(AH238,Schichten!$A$5:$G$24,6,FALSE()),0))</f>
        <v>8</v>
      </c>
      <c r="AJ238" s="27" t="n">
        <f aca="false">IF($A238="","",IFERROR(VLOOKUP(AH238,Schichten!$A$5:$G$24,7,FALSE()),0))</f>
        <v>0</v>
      </c>
      <c r="AK238" s="28" t="n">
        <f aca="false">IF($A238="","",IF(N(AI238)=0,"",$A238+VLOOKUP(AH238,Schichten!$A$5:$G$24,3,FALSE())))</f>
        <v>46621.25</v>
      </c>
      <c r="AL238" s="28" t="n">
        <f aca="false">IF(AK238="","",$A238+VLOOKUP(AH238,Schichten!$A$5:$G$24,4,FALSE())+IF(VLOOKUP(AH238,Schichten!$A$5:$G$24,4,FALSE())&lt;=VLOOKUP(AH238,Schichten!$A$5:$G$24,3,FALSE()),1,0))</f>
        <v>46621.5833333333</v>
      </c>
      <c r="AM238" s="28" t="n">
        <f aca="false">IF($A238="","",IF(N(AI237)&gt;0,AL237,AM237))</f>
        <v>46619.25</v>
      </c>
      <c r="AN238" s="27" t="n">
        <f aca="false">IF(OR(AK238="",AM238=""),"",(AK238-AM238)*24)</f>
        <v>48</v>
      </c>
      <c r="AO238" s="21" t="n">
        <f aca="false">IF($A238="","",IF(N(AI238)&gt;0,N(AO237)+1,0))</f>
        <v>1</v>
      </c>
      <c r="AP238" s="21" t="n">
        <f aca="false">IF($A238="","",IF(N(AJ238)&gt;0,N(AP237)+1,0))</f>
        <v>0</v>
      </c>
      <c r="AQ238" s="21" t="n">
        <f aca="false">IF($A238="","",IF(WEEKDAY($A238,2)&lt;&gt;7,"",IF(AND(OR(AK238="",N(AK238)&gt;=$A238+16/24,N(AL238)&lt;=$A238+6/24),OR(AM238="",N(AM238)&lt;=$A238+6/24)),1,0)))</f>
        <v>0</v>
      </c>
      <c r="AR238" s="26" t="str">
        <f aca="false">IF($A238="","",IF(INDEX(Muster!$C$10:$BF$10,1,MOD($A238-Einstellungen!$C$6,Einstellungen!$C$7)+1)="","-",INDEX(Muster!$C$10:$BF$10,1,MOD($A238-Einstellungen!$C$6,Einstellungen!$C$7)+1)))</f>
        <v>-</v>
      </c>
      <c r="AS238" s="27" t="n">
        <f aca="false">IF($A238="","",IFERROR(VLOOKUP(AR238,Schichten!$A$5:$G$24,6,FALSE()),0))</f>
        <v>0</v>
      </c>
      <c r="AT238" s="27" t="n">
        <f aca="false">IF($A238="","",IFERROR(VLOOKUP(AR238,Schichten!$A$5:$G$24,7,FALSE()),0))</f>
        <v>0</v>
      </c>
      <c r="AU238" s="28" t="str">
        <f aca="false">IF($A238="","",IF(N(AS238)=0,"",$A238+VLOOKUP(AR238,Schichten!$A$5:$G$24,3,FALSE())))</f>
        <v/>
      </c>
      <c r="AV238" s="28" t="str">
        <f aca="false">IF(AU238="","",$A238+VLOOKUP(AR238,Schichten!$A$5:$G$24,4,FALSE())+IF(VLOOKUP(AR238,Schichten!$A$5:$G$24,4,FALSE())&lt;=VLOOKUP(AR238,Schichten!$A$5:$G$24,3,FALSE()),1,0))</f>
        <v/>
      </c>
      <c r="AW238" s="28" t="str">
        <f aca="false">IF($A238="","",IF(N(AS237)&gt;0,AV237,AW237))</f>
        <v/>
      </c>
      <c r="AX238" s="27" t="str">
        <f aca="false">IF(OR(AU238="",AW238=""),"",(AU238-AW238)*24)</f>
        <v/>
      </c>
      <c r="AY238" s="21" t="n">
        <f aca="false">IF($A238="","",IF(N(AS238)&gt;0,N(AY237)+1,0))</f>
        <v>0</v>
      </c>
      <c r="AZ238" s="21" t="n">
        <f aca="false">IF($A238="","",IF(N(AT238)&gt;0,N(AZ237)+1,0))</f>
        <v>0</v>
      </c>
      <c r="BA238" s="21" t="n">
        <f aca="false">IF($A238="","",IF(WEEKDAY($A238,2)&lt;&gt;7,"",IF(AND(OR(AU238="",N(AU238)&gt;=$A238+16/24,N(AV238)&lt;=$A238+6/24),OR(AW238="",N(AW238)&lt;=$A238+6/24)),1,0)))</f>
        <v>1</v>
      </c>
    </row>
    <row r="239" customFormat="false" ht="15" hidden="false" customHeight="false" outlineLevel="0" collapsed="false">
      <c r="A239" s="25" t="n">
        <f aca="false">IF(YEAR(DATE(Einstellungen!$C$4,1,1)+234)=Einstellungen!$C$4,DATE(Einstellungen!$C$4,1,1)+234,"")</f>
        <v>46622</v>
      </c>
      <c r="B239" s="26" t="str">
        <f aca="false">IF($A239="","",CHOOSE(WEEKDAY($A239,2),"Mo","Di","Mi","Do","Fr","Sa","So"))</f>
        <v>Mo</v>
      </c>
      <c r="C239" s="26" t="n">
        <f aca="false">IF($A239="","",MONTH($A239))</f>
        <v>8</v>
      </c>
      <c r="D239" s="26" t="str">
        <f aca="false">IF($A239="","",IF(INDEX(Muster!$C$6:$BF$6,1,MOD($A239-Einstellungen!$C$6,Einstellungen!$C$7)+1)="","-",INDEX(Muster!$C$6:$BF$6,1,MOD($A239-Einstellungen!$C$6,Einstellungen!$C$7)+1)))</f>
        <v>-</v>
      </c>
      <c r="E239" s="27" t="n">
        <f aca="false">IF($A239="","",IFERROR(VLOOKUP(D239,Schichten!$A$5:$G$24,6,FALSE()),0))</f>
        <v>0</v>
      </c>
      <c r="F239" s="27" t="n">
        <f aca="false">IF($A239="","",IFERROR(VLOOKUP(D239,Schichten!$A$5:$G$24,7,FALSE()),0))</f>
        <v>0</v>
      </c>
      <c r="G239" s="28" t="str">
        <f aca="false">IF($A239="","",IF(N(E239)=0,"",$A239+VLOOKUP(D239,Schichten!$A$5:$G$24,3,FALSE())))</f>
        <v/>
      </c>
      <c r="H239" s="28" t="str">
        <f aca="false">IF(G239="","",$A239+VLOOKUP(D239,Schichten!$A$5:$G$24,4,FALSE())+IF(VLOOKUP(D239,Schichten!$A$5:$G$24,4,FALSE())&lt;=VLOOKUP(D239,Schichten!$A$5:$G$24,3,FALSE()),1,0))</f>
        <v/>
      </c>
      <c r="I239" s="28" t="n">
        <f aca="false">IF($A239="","",IF(N(E238)&gt;0,H238,I238))</f>
        <v>46621.25</v>
      </c>
      <c r="J239" s="27" t="str">
        <f aca="false">IF(OR(G239="",I239=""),"",(G239-I239)*24)</f>
        <v/>
      </c>
      <c r="K239" s="21" t="n">
        <f aca="false">IF($A239="","",IF(N(E239)&gt;0,N(K238)+1,0))</f>
        <v>0</v>
      </c>
      <c r="L239" s="21" t="n">
        <f aca="false">IF($A239="","",IF(N(F239)&gt;0,N(L238)+1,0))</f>
        <v>0</v>
      </c>
      <c r="M239" s="21" t="str">
        <f aca="false">IF($A239="","",IF(WEEKDAY($A239,2)&lt;&gt;7,"",IF(AND(OR(G239="",N(G239)&gt;=$A239+16/24,N(H239)&lt;=$A239+6/24),OR(I239="",N(I239)&lt;=$A239+6/24)),1,0)))</f>
        <v/>
      </c>
      <c r="N239" s="26" t="str">
        <f aca="false">IF($A239="","",IF(INDEX(Muster!$C$7:$BF$7,1,MOD($A239-Einstellungen!$C$6,Einstellungen!$C$7)+1)="","-",INDEX(Muster!$C$7:$BF$7,1,MOD($A239-Einstellungen!$C$6,Einstellungen!$C$7)+1)))</f>
        <v>N</v>
      </c>
      <c r="O239" s="27" t="n">
        <f aca="false">IF($A239="","",IFERROR(VLOOKUP(N239,Schichten!$A$5:$G$24,6,FALSE()),0))</f>
        <v>8</v>
      </c>
      <c r="P239" s="27" t="n">
        <f aca="false">IF($A239="","",IFERROR(VLOOKUP(N239,Schichten!$A$5:$G$24,7,FALSE()),0))</f>
        <v>7</v>
      </c>
      <c r="Q239" s="28" t="n">
        <f aca="false">IF($A239="","",IF(N(O239)=0,"",$A239+VLOOKUP(N239,Schichten!$A$5:$G$24,3,FALSE())))</f>
        <v>46622.9166666667</v>
      </c>
      <c r="R239" s="28" t="n">
        <f aca="false">IF(Q239="","",$A239+VLOOKUP(N239,Schichten!$A$5:$G$24,4,FALSE())+IF(VLOOKUP(N239,Schichten!$A$5:$G$24,4,FALSE())&lt;=VLOOKUP(N239,Schichten!$A$5:$G$24,3,FALSE()),1,0))</f>
        <v>46623.25</v>
      </c>
      <c r="S239" s="28" t="n">
        <f aca="false">IF($A239="","",IF(N(O238)&gt;0,R238,S238))</f>
        <v>46622.25</v>
      </c>
      <c r="T239" s="27" t="n">
        <f aca="false">IF(OR(Q239="",S239=""),"",(Q239-S239)*24)</f>
        <v>16</v>
      </c>
      <c r="U239" s="21" t="n">
        <f aca="false">IF($A239="","",IF(N(O239)&gt;0,N(U238)+1,0))</f>
        <v>6</v>
      </c>
      <c r="V239" s="21" t="n">
        <f aca="false">IF($A239="","",IF(N(P239)&gt;0,N(V238)+1,0))</f>
        <v>2</v>
      </c>
      <c r="W239" s="21" t="str">
        <f aca="false">IF($A239="","",IF(WEEKDAY($A239,2)&lt;&gt;7,"",IF(AND(OR(Q239="",N(Q239)&gt;=$A239+16/24,N(R239)&lt;=$A239+6/24),OR(S239="",N(S239)&lt;=$A239+6/24)),1,0)))</f>
        <v/>
      </c>
      <c r="X239" s="26" t="str">
        <f aca="false">IF($A239="","",IF(INDEX(Muster!$C$8:$BF$8,1,MOD($A239-Einstellungen!$C$6,Einstellungen!$C$7)+1)="","-",INDEX(Muster!$C$8:$BF$8,1,MOD($A239-Einstellungen!$C$6,Einstellungen!$C$7)+1)))</f>
        <v>S</v>
      </c>
      <c r="Y239" s="27" t="n">
        <f aca="false">IF($A239="","",IFERROR(VLOOKUP(X239,Schichten!$A$5:$G$24,6,FALSE()),0))</f>
        <v>8</v>
      </c>
      <c r="Z239" s="27" t="n">
        <f aca="false">IF($A239="","",IFERROR(VLOOKUP(X239,Schichten!$A$5:$G$24,7,FALSE()),0))</f>
        <v>0</v>
      </c>
      <c r="AA239" s="28" t="n">
        <f aca="false">IF($A239="","",IF(N(Y239)=0,"",$A239+VLOOKUP(X239,Schichten!$A$5:$G$24,3,FALSE())))</f>
        <v>46622.5833333333</v>
      </c>
      <c r="AB239" s="28" t="n">
        <f aca="false">IF(AA239="","",$A239+VLOOKUP(X239,Schichten!$A$5:$G$24,4,FALSE())+IF(VLOOKUP(X239,Schichten!$A$5:$G$24,4,FALSE())&lt;=VLOOKUP(X239,Schichten!$A$5:$G$24,3,FALSE()),1,0))</f>
        <v>46622.9166666667</v>
      </c>
      <c r="AC239" s="28" t="n">
        <f aca="false">IF($A239="","",IF(N(Y238)&gt;0,AB238,AC238))</f>
        <v>46621.9166666667</v>
      </c>
      <c r="AD239" s="27" t="n">
        <f aca="false">IF(OR(AA239="",AC239=""),"",(AA239-AC239)*24)</f>
        <v>16</v>
      </c>
      <c r="AE239" s="21" t="n">
        <f aca="false">IF($A239="","",IF(N(Y239)&gt;0,N(AE238)+1,0))</f>
        <v>4</v>
      </c>
      <c r="AF239" s="21" t="n">
        <f aca="false">IF($A239="","",IF(N(Z239)&gt;0,N(AF238)+1,0))</f>
        <v>0</v>
      </c>
      <c r="AG239" s="21" t="str">
        <f aca="false">IF($A239="","",IF(WEEKDAY($A239,2)&lt;&gt;7,"",IF(AND(OR(AA239="",N(AA239)&gt;=$A239+16/24,N(AB239)&lt;=$A239+6/24),OR(AC239="",N(AC239)&lt;=$A239+6/24)),1,0)))</f>
        <v/>
      </c>
      <c r="AH239" s="26" t="str">
        <f aca="false">IF($A239="","",IF(INDEX(Muster!$C$9:$BF$9,1,MOD($A239-Einstellungen!$C$6,Einstellungen!$C$7)+1)="","-",INDEX(Muster!$C$9:$BF$9,1,MOD($A239-Einstellungen!$C$6,Einstellungen!$C$7)+1)))</f>
        <v>F</v>
      </c>
      <c r="AI239" s="27" t="n">
        <f aca="false">IF($A239="","",IFERROR(VLOOKUP(AH239,Schichten!$A$5:$G$24,6,FALSE()),0))</f>
        <v>8</v>
      </c>
      <c r="AJ239" s="27" t="n">
        <f aca="false">IF($A239="","",IFERROR(VLOOKUP(AH239,Schichten!$A$5:$G$24,7,FALSE()),0))</f>
        <v>0</v>
      </c>
      <c r="AK239" s="28" t="n">
        <f aca="false">IF($A239="","",IF(N(AI239)=0,"",$A239+VLOOKUP(AH239,Schichten!$A$5:$G$24,3,FALSE())))</f>
        <v>46622.25</v>
      </c>
      <c r="AL239" s="28" t="n">
        <f aca="false">IF(AK239="","",$A239+VLOOKUP(AH239,Schichten!$A$5:$G$24,4,FALSE())+IF(VLOOKUP(AH239,Schichten!$A$5:$G$24,4,FALSE())&lt;=VLOOKUP(AH239,Schichten!$A$5:$G$24,3,FALSE()),1,0))</f>
        <v>46622.5833333333</v>
      </c>
      <c r="AM239" s="28" t="n">
        <f aca="false">IF($A239="","",IF(N(AI238)&gt;0,AL238,AM238))</f>
        <v>46621.5833333333</v>
      </c>
      <c r="AN239" s="27" t="n">
        <f aca="false">IF(OR(AK239="",AM239=""),"",(AK239-AM239)*24)</f>
        <v>16</v>
      </c>
      <c r="AO239" s="21" t="n">
        <f aca="false">IF($A239="","",IF(N(AI239)&gt;0,N(AO238)+1,0))</f>
        <v>2</v>
      </c>
      <c r="AP239" s="21" t="n">
        <f aca="false">IF($A239="","",IF(N(AJ239)&gt;0,N(AP238)+1,0))</f>
        <v>0</v>
      </c>
      <c r="AQ239" s="21" t="str">
        <f aca="false">IF($A239="","",IF(WEEKDAY($A239,2)&lt;&gt;7,"",IF(AND(OR(AK239="",N(AK239)&gt;=$A239+16/24,N(AL239)&lt;=$A239+6/24),OR(AM239="",N(AM239)&lt;=$A239+6/24)),1,0)))</f>
        <v/>
      </c>
      <c r="AR239" s="26" t="str">
        <f aca="false">IF($A239="","",IF(INDEX(Muster!$C$10:$BF$10,1,MOD($A239-Einstellungen!$C$6,Einstellungen!$C$7)+1)="","-",INDEX(Muster!$C$10:$BF$10,1,MOD($A239-Einstellungen!$C$6,Einstellungen!$C$7)+1)))</f>
        <v>-</v>
      </c>
      <c r="AS239" s="27" t="n">
        <f aca="false">IF($A239="","",IFERROR(VLOOKUP(AR239,Schichten!$A$5:$G$24,6,FALSE()),0))</f>
        <v>0</v>
      </c>
      <c r="AT239" s="27" t="n">
        <f aca="false">IF($A239="","",IFERROR(VLOOKUP(AR239,Schichten!$A$5:$G$24,7,FALSE()),0))</f>
        <v>0</v>
      </c>
      <c r="AU239" s="28" t="str">
        <f aca="false">IF($A239="","",IF(N(AS239)=0,"",$A239+VLOOKUP(AR239,Schichten!$A$5:$G$24,3,FALSE())))</f>
        <v/>
      </c>
      <c r="AV239" s="28" t="str">
        <f aca="false">IF(AU239="","",$A239+VLOOKUP(AR239,Schichten!$A$5:$G$24,4,FALSE())+IF(VLOOKUP(AR239,Schichten!$A$5:$G$24,4,FALSE())&lt;=VLOOKUP(AR239,Schichten!$A$5:$G$24,3,FALSE()),1,0))</f>
        <v/>
      </c>
      <c r="AW239" s="28" t="str">
        <f aca="false">IF($A239="","",IF(N(AS238)&gt;0,AV238,AW238))</f>
        <v/>
      </c>
      <c r="AX239" s="27" t="str">
        <f aca="false">IF(OR(AU239="",AW239=""),"",(AU239-AW239)*24)</f>
        <v/>
      </c>
      <c r="AY239" s="21" t="n">
        <f aca="false">IF($A239="","",IF(N(AS239)&gt;0,N(AY238)+1,0))</f>
        <v>0</v>
      </c>
      <c r="AZ239" s="21" t="n">
        <f aca="false">IF($A239="","",IF(N(AT239)&gt;0,N(AZ238)+1,0))</f>
        <v>0</v>
      </c>
      <c r="BA239" s="21" t="str">
        <f aca="false">IF($A239="","",IF(WEEKDAY($A239,2)&lt;&gt;7,"",IF(AND(OR(AU239="",N(AU239)&gt;=$A239+16/24,N(AV239)&lt;=$A239+6/24),OR(AW239="",N(AW239)&lt;=$A239+6/24)),1,0)))</f>
        <v/>
      </c>
    </row>
    <row r="240" customFormat="false" ht="15" hidden="false" customHeight="false" outlineLevel="0" collapsed="false">
      <c r="A240" s="25" t="n">
        <f aca="false">IF(YEAR(DATE(Einstellungen!$C$4,1,1)+235)=Einstellungen!$C$4,DATE(Einstellungen!$C$4,1,1)+235,"")</f>
        <v>46623</v>
      </c>
      <c r="B240" s="26" t="str">
        <f aca="false">IF($A240="","",CHOOSE(WEEKDAY($A240,2),"Mo","Di","Mi","Do","Fr","Sa","So"))</f>
        <v>Di</v>
      </c>
      <c r="C240" s="26" t="n">
        <f aca="false">IF($A240="","",MONTH($A240))</f>
        <v>8</v>
      </c>
      <c r="D240" s="26" t="str">
        <f aca="false">IF($A240="","",IF(INDEX(Muster!$C$6:$BF$6,1,MOD($A240-Einstellungen!$C$6,Einstellungen!$C$7)+1)="","-",INDEX(Muster!$C$6:$BF$6,1,MOD($A240-Einstellungen!$C$6,Einstellungen!$C$7)+1)))</f>
        <v>F</v>
      </c>
      <c r="E240" s="27" t="n">
        <f aca="false">IF($A240="","",IFERROR(VLOOKUP(D240,Schichten!$A$5:$G$24,6,FALSE()),0))</f>
        <v>8</v>
      </c>
      <c r="F240" s="27" t="n">
        <f aca="false">IF($A240="","",IFERROR(VLOOKUP(D240,Schichten!$A$5:$G$24,7,FALSE()),0))</f>
        <v>0</v>
      </c>
      <c r="G240" s="28" t="n">
        <f aca="false">IF($A240="","",IF(N(E240)=0,"",$A240+VLOOKUP(D240,Schichten!$A$5:$G$24,3,FALSE())))</f>
        <v>46623.25</v>
      </c>
      <c r="H240" s="28" t="n">
        <f aca="false">IF(G240="","",$A240+VLOOKUP(D240,Schichten!$A$5:$G$24,4,FALSE())+IF(VLOOKUP(D240,Schichten!$A$5:$G$24,4,FALSE())&lt;=VLOOKUP(D240,Schichten!$A$5:$G$24,3,FALSE()),1,0))</f>
        <v>46623.5833333333</v>
      </c>
      <c r="I240" s="28" t="n">
        <f aca="false">IF($A240="","",IF(N(E239)&gt;0,H239,I239))</f>
        <v>46621.25</v>
      </c>
      <c r="J240" s="27" t="n">
        <f aca="false">IF(OR(G240="",I240=""),"",(G240-I240)*24)</f>
        <v>48</v>
      </c>
      <c r="K240" s="21" t="n">
        <f aca="false">IF($A240="","",IF(N(E240)&gt;0,N(K239)+1,0))</f>
        <v>1</v>
      </c>
      <c r="L240" s="21" t="n">
        <f aca="false">IF($A240="","",IF(N(F240)&gt;0,N(L239)+1,0))</f>
        <v>0</v>
      </c>
      <c r="M240" s="21" t="str">
        <f aca="false">IF($A240="","",IF(WEEKDAY($A240,2)&lt;&gt;7,"",IF(AND(OR(G240="",N(G240)&gt;=$A240+16/24,N(H240)&lt;=$A240+6/24),OR(I240="",N(I240)&lt;=$A240+6/24)),1,0)))</f>
        <v/>
      </c>
      <c r="N240" s="26" t="str">
        <f aca="false">IF($A240="","",IF(INDEX(Muster!$C$7:$BF$7,1,MOD($A240-Einstellungen!$C$6,Einstellungen!$C$7)+1)="","-",INDEX(Muster!$C$7:$BF$7,1,MOD($A240-Einstellungen!$C$6,Einstellungen!$C$7)+1)))</f>
        <v>-</v>
      </c>
      <c r="O240" s="27" t="n">
        <f aca="false">IF($A240="","",IFERROR(VLOOKUP(N240,Schichten!$A$5:$G$24,6,FALSE()),0))</f>
        <v>0</v>
      </c>
      <c r="P240" s="27" t="n">
        <f aca="false">IF($A240="","",IFERROR(VLOOKUP(N240,Schichten!$A$5:$G$24,7,FALSE()),0))</f>
        <v>0</v>
      </c>
      <c r="Q240" s="28" t="str">
        <f aca="false">IF($A240="","",IF(N(O240)=0,"",$A240+VLOOKUP(N240,Schichten!$A$5:$G$24,3,FALSE())))</f>
        <v/>
      </c>
      <c r="R240" s="28" t="str">
        <f aca="false">IF(Q240="","",$A240+VLOOKUP(N240,Schichten!$A$5:$G$24,4,FALSE())+IF(VLOOKUP(N240,Schichten!$A$5:$G$24,4,FALSE())&lt;=VLOOKUP(N240,Schichten!$A$5:$G$24,3,FALSE()),1,0))</f>
        <v/>
      </c>
      <c r="S240" s="28" t="n">
        <f aca="false">IF($A240="","",IF(N(O239)&gt;0,R239,S239))</f>
        <v>46623.25</v>
      </c>
      <c r="T240" s="27" t="str">
        <f aca="false">IF(OR(Q240="",S240=""),"",(Q240-S240)*24)</f>
        <v/>
      </c>
      <c r="U240" s="21" t="n">
        <f aca="false">IF($A240="","",IF(N(O240)&gt;0,N(U239)+1,0))</f>
        <v>0</v>
      </c>
      <c r="V240" s="21" t="n">
        <f aca="false">IF($A240="","",IF(N(P240)&gt;0,N(V239)+1,0))</f>
        <v>0</v>
      </c>
      <c r="W240" s="21" t="str">
        <f aca="false">IF($A240="","",IF(WEEKDAY($A240,2)&lt;&gt;7,"",IF(AND(OR(Q240="",N(Q240)&gt;=$A240+16/24,N(R240)&lt;=$A240+6/24),OR(S240="",N(S240)&lt;=$A240+6/24)),1,0)))</f>
        <v/>
      </c>
      <c r="X240" s="26" t="str">
        <f aca="false">IF($A240="","",IF(INDEX(Muster!$C$8:$BF$8,1,MOD($A240-Einstellungen!$C$6,Einstellungen!$C$7)+1)="","-",INDEX(Muster!$C$8:$BF$8,1,MOD($A240-Einstellungen!$C$6,Einstellungen!$C$7)+1)))</f>
        <v>N</v>
      </c>
      <c r="Y240" s="27" t="n">
        <f aca="false">IF($A240="","",IFERROR(VLOOKUP(X240,Schichten!$A$5:$G$24,6,FALSE()),0))</f>
        <v>8</v>
      </c>
      <c r="Z240" s="27" t="n">
        <f aca="false">IF($A240="","",IFERROR(VLOOKUP(X240,Schichten!$A$5:$G$24,7,FALSE()),0))</f>
        <v>7</v>
      </c>
      <c r="AA240" s="28" t="n">
        <f aca="false">IF($A240="","",IF(N(Y240)=0,"",$A240+VLOOKUP(X240,Schichten!$A$5:$G$24,3,FALSE())))</f>
        <v>46623.9166666667</v>
      </c>
      <c r="AB240" s="28" t="n">
        <f aca="false">IF(AA240="","",$A240+VLOOKUP(X240,Schichten!$A$5:$G$24,4,FALSE())+IF(VLOOKUP(X240,Schichten!$A$5:$G$24,4,FALSE())&lt;=VLOOKUP(X240,Schichten!$A$5:$G$24,3,FALSE()),1,0))</f>
        <v>46624.25</v>
      </c>
      <c r="AC240" s="28" t="n">
        <f aca="false">IF($A240="","",IF(N(Y239)&gt;0,AB239,AC239))</f>
        <v>46622.9166666667</v>
      </c>
      <c r="AD240" s="27" t="n">
        <f aca="false">IF(OR(AA240="",AC240=""),"",(AA240-AC240)*24)</f>
        <v>24</v>
      </c>
      <c r="AE240" s="21" t="n">
        <f aca="false">IF($A240="","",IF(N(Y240)&gt;0,N(AE239)+1,0))</f>
        <v>5</v>
      </c>
      <c r="AF240" s="21" t="n">
        <f aca="false">IF($A240="","",IF(N(Z240)&gt;0,N(AF239)+1,0))</f>
        <v>1</v>
      </c>
      <c r="AG240" s="21" t="str">
        <f aca="false">IF($A240="","",IF(WEEKDAY($A240,2)&lt;&gt;7,"",IF(AND(OR(AA240="",N(AA240)&gt;=$A240+16/24,N(AB240)&lt;=$A240+6/24),OR(AC240="",N(AC240)&lt;=$A240+6/24)),1,0)))</f>
        <v/>
      </c>
      <c r="AH240" s="26" t="str">
        <f aca="false">IF($A240="","",IF(INDEX(Muster!$C$9:$BF$9,1,MOD($A240-Einstellungen!$C$6,Einstellungen!$C$7)+1)="","-",INDEX(Muster!$C$9:$BF$9,1,MOD($A240-Einstellungen!$C$6,Einstellungen!$C$7)+1)))</f>
        <v>S</v>
      </c>
      <c r="AI240" s="27" t="n">
        <f aca="false">IF($A240="","",IFERROR(VLOOKUP(AH240,Schichten!$A$5:$G$24,6,FALSE()),0))</f>
        <v>8</v>
      </c>
      <c r="AJ240" s="27" t="n">
        <f aca="false">IF($A240="","",IFERROR(VLOOKUP(AH240,Schichten!$A$5:$G$24,7,FALSE()),0))</f>
        <v>0</v>
      </c>
      <c r="AK240" s="28" t="n">
        <f aca="false">IF($A240="","",IF(N(AI240)=0,"",$A240+VLOOKUP(AH240,Schichten!$A$5:$G$24,3,FALSE())))</f>
        <v>46623.5833333333</v>
      </c>
      <c r="AL240" s="28" t="n">
        <f aca="false">IF(AK240="","",$A240+VLOOKUP(AH240,Schichten!$A$5:$G$24,4,FALSE())+IF(VLOOKUP(AH240,Schichten!$A$5:$G$24,4,FALSE())&lt;=VLOOKUP(AH240,Schichten!$A$5:$G$24,3,FALSE()),1,0))</f>
        <v>46623.9166666667</v>
      </c>
      <c r="AM240" s="28" t="n">
        <f aca="false">IF($A240="","",IF(N(AI239)&gt;0,AL239,AM239))</f>
        <v>46622.5833333333</v>
      </c>
      <c r="AN240" s="27" t="n">
        <f aca="false">IF(OR(AK240="",AM240=""),"",(AK240-AM240)*24)</f>
        <v>24</v>
      </c>
      <c r="AO240" s="21" t="n">
        <f aca="false">IF($A240="","",IF(N(AI240)&gt;0,N(AO239)+1,0))</f>
        <v>3</v>
      </c>
      <c r="AP240" s="21" t="n">
        <f aca="false">IF($A240="","",IF(N(AJ240)&gt;0,N(AP239)+1,0))</f>
        <v>0</v>
      </c>
      <c r="AQ240" s="21" t="str">
        <f aca="false">IF($A240="","",IF(WEEKDAY($A240,2)&lt;&gt;7,"",IF(AND(OR(AK240="",N(AK240)&gt;=$A240+16/24,N(AL240)&lt;=$A240+6/24),OR(AM240="",N(AM240)&lt;=$A240+6/24)),1,0)))</f>
        <v/>
      </c>
      <c r="AR240" s="26" t="str">
        <f aca="false">IF($A240="","",IF(INDEX(Muster!$C$10:$BF$10,1,MOD($A240-Einstellungen!$C$6,Einstellungen!$C$7)+1)="","-",INDEX(Muster!$C$10:$BF$10,1,MOD($A240-Einstellungen!$C$6,Einstellungen!$C$7)+1)))</f>
        <v>-</v>
      </c>
      <c r="AS240" s="27" t="n">
        <f aca="false">IF($A240="","",IFERROR(VLOOKUP(AR240,Schichten!$A$5:$G$24,6,FALSE()),0))</f>
        <v>0</v>
      </c>
      <c r="AT240" s="27" t="n">
        <f aca="false">IF($A240="","",IFERROR(VLOOKUP(AR240,Schichten!$A$5:$G$24,7,FALSE()),0))</f>
        <v>0</v>
      </c>
      <c r="AU240" s="28" t="str">
        <f aca="false">IF($A240="","",IF(N(AS240)=0,"",$A240+VLOOKUP(AR240,Schichten!$A$5:$G$24,3,FALSE())))</f>
        <v/>
      </c>
      <c r="AV240" s="28" t="str">
        <f aca="false">IF(AU240="","",$A240+VLOOKUP(AR240,Schichten!$A$5:$G$24,4,FALSE())+IF(VLOOKUP(AR240,Schichten!$A$5:$G$24,4,FALSE())&lt;=VLOOKUP(AR240,Schichten!$A$5:$G$24,3,FALSE()),1,0))</f>
        <v/>
      </c>
      <c r="AW240" s="28" t="str">
        <f aca="false">IF($A240="","",IF(N(AS239)&gt;0,AV239,AW239))</f>
        <v/>
      </c>
      <c r="AX240" s="27" t="str">
        <f aca="false">IF(OR(AU240="",AW240=""),"",(AU240-AW240)*24)</f>
        <v/>
      </c>
      <c r="AY240" s="21" t="n">
        <f aca="false">IF($A240="","",IF(N(AS240)&gt;0,N(AY239)+1,0))</f>
        <v>0</v>
      </c>
      <c r="AZ240" s="21" t="n">
        <f aca="false">IF($A240="","",IF(N(AT240)&gt;0,N(AZ239)+1,0))</f>
        <v>0</v>
      </c>
      <c r="BA240" s="21" t="str">
        <f aca="false">IF($A240="","",IF(WEEKDAY($A240,2)&lt;&gt;7,"",IF(AND(OR(AU240="",N(AU240)&gt;=$A240+16/24,N(AV240)&lt;=$A240+6/24),OR(AW240="",N(AW240)&lt;=$A240+6/24)),1,0)))</f>
        <v/>
      </c>
    </row>
    <row r="241" customFormat="false" ht="15" hidden="false" customHeight="false" outlineLevel="0" collapsed="false">
      <c r="A241" s="25" t="n">
        <f aca="false">IF(YEAR(DATE(Einstellungen!$C$4,1,1)+236)=Einstellungen!$C$4,DATE(Einstellungen!$C$4,1,1)+236,"")</f>
        <v>46624</v>
      </c>
      <c r="B241" s="26" t="str">
        <f aca="false">IF($A241="","",CHOOSE(WEEKDAY($A241,2),"Mo","Di","Mi","Do","Fr","Sa","So"))</f>
        <v>Mi</v>
      </c>
      <c r="C241" s="26" t="n">
        <f aca="false">IF($A241="","",MONTH($A241))</f>
        <v>8</v>
      </c>
      <c r="D241" s="26" t="str">
        <f aca="false">IF($A241="","",IF(INDEX(Muster!$C$6:$BF$6,1,MOD($A241-Einstellungen!$C$6,Einstellungen!$C$7)+1)="","-",INDEX(Muster!$C$6:$BF$6,1,MOD($A241-Einstellungen!$C$6,Einstellungen!$C$7)+1)))</f>
        <v>F</v>
      </c>
      <c r="E241" s="27" t="n">
        <f aca="false">IF($A241="","",IFERROR(VLOOKUP(D241,Schichten!$A$5:$G$24,6,FALSE()),0))</f>
        <v>8</v>
      </c>
      <c r="F241" s="27" t="n">
        <f aca="false">IF($A241="","",IFERROR(VLOOKUP(D241,Schichten!$A$5:$G$24,7,FALSE()),0))</f>
        <v>0</v>
      </c>
      <c r="G241" s="28" t="n">
        <f aca="false">IF($A241="","",IF(N(E241)=0,"",$A241+VLOOKUP(D241,Schichten!$A$5:$G$24,3,FALSE())))</f>
        <v>46624.25</v>
      </c>
      <c r="H241" s="28" t="n">
        <f aca="false">IF(G241="","",$A241+VLOOKUP(D241,Schichten!$A$5:$G$24,4,FALSE())+IF(VLOOKUP(D241,Schichten!$A$5:$G$24,4,FALSE())&lt;=VLOOKUP(D241,Schichten!$A$5:$G$24,3,FALSE()),1,0))</f>
        <v>46624.5833333333</v>
      </c>
      <c r="I241" s="28" t="n">
        <f aca="false">IF($A241="","",IF(N(E240)&gt;0,H240,I240))</f>
        <v>46623.5833333333</v>
      </c>
      <c r="J241" s="27" t="n">
        <f aca="false">IF(OR(G241="",I241=""),"",(G241-I241)*24)</f>
        <v>16</v>
      </c>
      <c r="K241" s="21" t="n">
        <f aca="false">IF($A241="","",IF(N(E241)&gt;0,N(K240)+1,0))</f>
        <v>2</v>
      </c>
      <c r="L241" s="21" t="n">
        <f aca="false">IF($A241="","",IF(N(F241)&gt;0,N(L240)+1,0))</f>
        <v>0</v>
      </c>
      <c r="M241" s="21" t="str">
        <f aca="false">IF($A241="","",IF(WEEKDAY($A241,2)&lt;&gt;7,"",IF(AND(OR(G241="",N(G241)&gt;=$A241+16/24,N(H241)&lt;=$A241+6/24),OR(I241="",N(I241)&lt;=$A241+6/24)),1,0)))</f>
        <v/>
      </c>
      <c r="N241" s="26" t="str">
        <f aca="false">IF($A241="","",IF(INDEX(Muster!$C$7:$BF$7,1,MOD($A241-Einstellungen!$C$6,Einstellungen!$C$7)+1)="","-",INDEX(Muster!$C$7:$BF$7,1,MOD($A241-Einstellungen!$C$6,Einstellungen!$C$7)+1)))</f>
        <v>-</v>
      </c>
      <c r="O241" s="27" t="n">
        <f aca="false">IF($A241="","",IFERROR(VLOOKUP(N241,Schichten!$A$5:$G$24,6,FALSE()),0))</f>
        <v>0</v>
      </c>
      <c r="P241" s="27" t="n">
        <f aca="false">IF($A241="","",IFERROR(VLOOKUP(N241,Schichten!$A$5:$G$24,7,FALSE()),0))</f>
        <v>0</v>
      </c>
      <c r="Q241" s="28" t="str">
        <f aca="false">IF($A241="","",IF(N(O241)=0,"",$A241+VLOOKUP(N241,Schichten!$A$5:$G$24,3,FALSE())))</f>
        <v/>
      </c>
      <c r="R241" s="28" t="str">
        <f aca="false">IF(Q241="","",$A241+VLOOKUP(N241,Schichten!$A$5:$G$24,4,FALSE())+IF(VLOOKUP(N241,Schichten!$A$5:$G$24,4,FALSE())&lt;=VLOOKUP(N241,Schichten!$A$5:$G$24,3,FALSE()),1,0))</f>
        <v/>
      </c>
      <c r="S241" s="28" t="n">
        <f aca="false">IF($A241="","",IF(N(O240)&gt;0,R240,S240))</f>
        <v>46623.25</v>
      </c>
      <c r="T241" s="27" t="str">
        <f aca="false">IF(OR(Q241="",S241=""),"",(Q241-S241)*24)</f>
        <v/>
      </c>
      <c r="U241" s="21" t="n">
        <f aca="false">IF($A241="","",IF(N(O241)&gt;0,N(U240)+1,0))</f>
        <v>0</v>
      </c>
      <c r="V241" s="21" t="n">
        <f aca="false">IF($A241="","",IF(N(P241)&gt;0,N(V240)+1,0))</f>
        <v>0</v>
      </c>
      <c r="W241" s="21" t="str">
        <f aca="false">IF($A241="","",IF(WEEKDAY($A241,2)&lt;&gt;7,"",IF(AND(OR(Q241="",N(Q241)&gt;=$A241+16/24,N(R241)&lt;=$A241+6/24),OR(S241="",N(S241)&lt;=$A241+6/24)),1,0)))</f>
        <v/>
      </c>
      <c r="X241" s="26" t="str">
        <f aca="false">IF($A241="","",IF(INDEX(Muster!$C$8:$BF$8,1,MOD($A241-Einstellungen!$C$6,Einstellungen!$C$7)+1)="","-",INDEX(Muster!$C$8:$BF$8,1,MOD($A241-Einstellungen!$C$6,Einstellungen!$C$7)+1)))</f>
        <v>N</v>
      </c>
      <c r="Y241" s="27" t="n">
        <f aca="false">IF($A241="","",IFERROR(VLOOKUP(X241,Schichten!$A$5:$G$24,6,FALSE()),0))</f>
        <v>8</v>
      </c>
      <c r="Z241" s="27" t="n">
        <f aca="false">IF($A241="","",IFERROR(VLOOKUP(X241,Schichten!$A$5:$G$24,7,FALSE()),0))</f>
        <v>7</v>
      </c>
      <c r="AA241" s="28" t="n">
        <f aca="false">IF($A241="","",IF(N(Y241)=0,"",$A241+VLOOKUP(X241,Schichten!$A$5:$G$24,3,FALSE())))</f>
        <v>46624.9166666667</v>
      </c>
      <c r="AB241" s="28" t="n">
        <f aca="false">IF(AA241="","",$A241+VLOOKUP(X241,Schichten!$A$5:$G$24,4,FALSE())+IF(VLOOKUP(X241,Schichten!$A$5:$G$24,4,FALSE())&lt;=VLOOKUP(X241,Schichten!$A$5:$G$24,3,FALSE()),1,0))</f>
        <v>46625.25</v>
      </c>
      <c r="AC241" s="28" t="n">
        <f aca="false">IF($A241="","",IF(N(Y240)&gt;0,AB240,AC240))</f>
        <v>46624.25</v>
      </c>
      <c r="AD241" s="27" t="n">
        <f aca="false">IF(OR(AA241="",AC241=""),"",(AA241-AC241)*24)</f>
        <v>16</v>
      </c>
      <c r="AE241" s="21" t="n">
        <f aca="false">IF($A241="","",IF(N(Y241)&gt;0,N(AE240)+1,0))</f>
        <v>6</v>
      </c>
      <c r="AF241" s="21" t="n">
        <f aca="false">IF($A241="","",IF(N(Z241)&gt;0,N(AF240)+1,0))</f>
        <v>2</v>
      </c>
      <c r="AG241" s="21" t="str">
        <f aca="false">IF($A241="","",IF(WEEKDAY($A241,2)&lt;&gt;7,"",IF(AND(OR(AA241="",N(AA241)&gt;=$A241+16/24,N(AB241)&lt;=$A241+6/24),OR(AC241="",N(AC241)&lt;=$A241+6/24)),1,0)))</f>
        <v/>
      </c>
      <c r="AH241" s="26" t="str">
        <f aca="false">IF($A241="","",IF(INDEX(Muster!$C$9:$BF$9,1,MOD($A241-Einstellungen!$C$6,Einstellungen!$C$7)+1)="","-",INDEX(Muster!$C$9:$BF$9,1,MOD($A241-Einstellungen!$C$6,Einstellungen!$C$7)+1)))</f>
        <v>S</v>
      </c>
      <c r="AI241" s="27" t="n">
        <f aca="false">IF($A241="","",IFERROR(VLOOKUP(AH241,Schichten!$A$5:$G$24,6,FALSE()),0))</f>
        <v>8</v>
      </c>
      <c r="AJ241" s="27" t="n">
        <f aca="false">IF($A241="","",IFERROR(VLOOKUP(AH241,Schichten!$A$5:$G$24,7,FALSE()),0))</f>
        <v>0</v>
      </c>
      <c r="AK241" s="28" t="n">
        <f aca="false">IF($A241="","",IF(N(AI241)=0,"",$A241+VLOOKUP(AH241,Schichten!$A$5:$G$24,3,FALSE())))</f>
        <v>46624.5833333333</v>
      </c>
      <c r="AL241" s="28" t="n">
        <f aca="false">IF(AK241="","",$A241+VLOOKUP(AH241,Schichten!$A$5:$G$24,4,FALSE())+IF(VLOOKUP(AH241,Schichten!$A$5:$G$24,4,FALSE())&lt;=VLOOKUP(AH241,Schichten!$A$5:$G$24,3,FALSE()),1,0))</f>
        <v>46624.9166666667</v>
      </c>
      <c r="AM241" s="28" t="n">
        <f aca="false">IF($A241="","",IF(N(AI240)&gt;0,AL240,AM240))</f>
        <v>46623.9166666667</v>
      </c>
      <c r="AN241" s="27" t="n">
        <f aca="false">IF(OR(AK241="",AM241=""),"",(AK241-AM241)*24)</f>
        <v>16</v>
      </c>
      <c r="AO241" s="21" t="n">
        <f aca="false">IF($A241="","",IF(N(AI241)&gt;0,N(AO240)+1,0))</f>
        <v>4</v>
      </c>
      <c r="AP241" s="21" t="n">
        <f aca="false">IF($A241="","",IF(N(AJ241)&gt;0,N(AP240)+1,0))</f>
        <v>0</v>
      </c>
      <c r="AQ241" s="21" t="str">
        <f aca="false">IF($A241="","",IF(WEEKDAY($A241,2)&lt;&gt;7,"",IF(AND(OR(AK241="",N(AK241)&gt;=$A241+16/24,N(AL241)&lt;=$A241+6/24),OR(AM241="",N(AM241)&lt;=$A241+6/24)),1,0)))</f>
        <v/>
      </c>
      <c r="AR241" s="26" t="str">
        <f aca="false">IF($A241="","",IF(INDEX(Muster!$C$10:$BF$10,1,MOD($A241-Einstellungen!$C$6,Einstellungen!$C$7)+1)="","-",INDEX(Muster!$C$10:$BF$10,1,MOD($A241-Einstellungen!$C$6,Einstellungen!$C$7)+1)))</f>
        <v>-</v>
      </c>
      <c r="AS241" s="27" t="n">
        <f aca="false">IF($A241="","",IFERROR(VLOOKUP(AR241,Schichten!$A$5:$G$24,6,FALSE()),0))</f>
        <v>0</v>
      </c>
      <c r="AT241" s="27" t="n">
        <f aca="false">IF($A241="","",IFERROR(VLOOKUP(AR241,Schichten!$A$5:$G$24,7,FALSE()),0))</f>
        <v>0</v>
      </c>
      <c r="AU241" s="28" t="str">
        <f aca="false">IF($A241="","",IF(N(AS241)=0,"",$A241+VLOOKUP(AR241,Schichten!$A$5:$G$24,3,FALSE())))</f>
        <v/>
      </c>
      <c r="AV241" s="28" t="str">
        <f aca="false">IF(AU241="","",$A241+VLOOKUP(AR241,Schichten!$A$5:$G$24,4,FALSE())+IF(VLOOKUP(AR241,Schichten!$A$5:$G$24,4,FALSE())&lt;=VLOOKUP(AR241,Schichten!$A$5:$G$24,3,FALSE()),1,0))</f>
        <v/>
      </c>
      <c r="AW241" s="28" t="str">
        <f aca="false">IF($A241="","",IF(N(AS240)&gt;0,AV240,AW240))</f>
        <v/>
      </c>
      <c r="AX241" s="27" t="str">
        <f aca="false">IF(OR(AU241="",AW241=""),"",(AU241-AW241)*24)</f>
        <v/>
      </c>
      <c r="AY241" s="21" t="n">
        <f aca="false">IF($A241="","",IF(N(AS241)&gt;0,N(AY240)+1,0))</f>
        <v>0</v>
      </c>
      <c r="AZ241" s="21" t="n">
        <f aca="false">IF($A241="","",IF(N(AT241)&gt;0,N(AZ240)+1,0))</f>
        <v>0</v>
      </c>
      <c r="BA241" s="21" t="str">
        <f aca="false">IF($A241="","",IF(WEEKDAY($A241,2)&lt;&gt;7,"",IF(AND(OR(AU241="",N(AU241)&gt;=$A241+16/24,N(AV241)&lt;=$A241+6/24),OR(AW241="",N(AW241)&lt;=$A241+6/24)),1,0)))</f>
        <v/>
      </c>
    </row>
    <row r="242" customFormat="false" ht="15" hidden="false" customHeight="false" outlineLevel="0" collapsed="false">
      <c r="A242" s="25" t="n">
        <f aca="false">IF(YEAR(DATE(Einstellungen!$C$4,1,1)+237)=Einstellungen!$C$4,DATE(Einstellungen!$C$4,1,1)+237,"")</f>
        <v>46625</v>
      </c>
      <c r="B242" s="26" t="str">
        <f aca="false">IF($A242="","",CHOOSE(WEEKDAY($A242,2),"Mo","Di","Mi","Do","Fr","Sa","So"))</f>
        <v>Do</v>
      </c>
      <c r="C242" s="26" t="n">
        <f aca="false">IF($A242="","",MONTH($A242))</f>
        <v>8</v>
      </c>
      <c r="D242" s="26" t="str">
        <f aca="false">IF($A242="","",IF(INDEX(Muster!$C$6:$BF$6,1,MOD($A242-Einstellungen!$C$6,Einstellungen!$C$7)+1)="","-",INDEX(Muster!$C$6:$BF$6,1,MOD($A242-Einstellungen!$C$6,Einstellungen!$C$7)+1)))</f>
        <v>S</v>
      </c>
      <c r="E242" s="27" t="n">
        <f aca="false">IF($A242="","",IFERROR(VLOOKUP(D242,Schichten!$A$5:$G$24,6,FALSE()),0))</f>
        <v>8</v>
      </c>
      <c r="F242" s="27" t="n">
        <f aca="false">IF($A242="","",IFERROR(VLOOKUP(D242,Schichten!$A$5:$G$24,7,FALSE()),0))</f>
        <v>0</v>
      </c>
      <c r="G242" s="28" t="n">
        <f aca="false">IF($A242="","",IF(N(E242)=0,"",$A242+VLOOKUP(D242,Schichten!$A$5:$G$24,3,FALSE())))</f>
        <v>46625.5833333333</v>
      </c>
      <c r="H242" s="28" t="n">
        <f aca="false">IF(G242="","",$A242+VLOOKUP(D242,Schichten!$A$5:$G$24,4,FALSE())+IF(VLOOKUP(D242,Schichten!$A$5:$G$24,4,FALSE())&lt;=VLOOKUP(D242,Schichten!$A$5:$G$24,3,FALSE()),1,0))</f>
        <v>46625.9166666667</v>
      </c>
      <c r="I242" s="28" t="n">
        <f aca="false">IF($A242="","",IF(N(E241)&gt;0,H241,I241))</f>
        <v>46624.5833333333</v>
      </c>
      <c r="J242" s="27" t="n">
        <f aca="false">IF(OR(G242="",I242=""),"",(G242-I242)*24)</f>
        <v>24</v>
      </c>
      <c r="K242" s="21" t="n">
        <f aca="false">IF($A242="","",IF(N(E242)&gt;0,N(K241)+1,0))</f>
        <v>3</v>
      </c>
      <c r="L242" s="21" t="n">
        <f aca="false">IF($A242="","",IF(N(F242)&gt;0,N(L241)+1,0))</f>
        <v>0</v>
      </c>
      <c r="M242" s="21" t="str">
        <f aca="false">IF($A242="","",IF(WEEKDAY($A242,2)&lt;&gt;7,"",IF(AND(OR(G242="",N(G242)&gt;=$A242+16/24,N(H242)&lt;=$A242+6/24),OR(I242="",N(I242)&lt;=$A242+6/24)),1,0)))</f>
        <v/>
      </c>
      <c r="N242" s="26" t="str">
        <f aca="false">IF($A242="","",IF(INDEX(Muster!$C$7:$BF$7,1,MOD($A242-Einstellungen!$C$6,Einstellungen!$C$7)+1)="","-",INDEX(Muster!$C$7:$BF$7,1,MOD($A242-Einstellungen!$C$6,Einstellungen!$C$7)+1)))</f>
        <v>F</v>
      </c>
      <c r="O242" s="27" t="n">
        <f aca="false">IF($A242="","",IFERROR(VLOOKUP(N242,Schichten!$A$5:$G$24,6,FALSE()),0))</f>
        <v>8</v>
      </c>
      <c r="P242" s="27" t="n">
        <f aca="false">IF($A242="","",IFERROR(VLOOKUP(N242,Schichten!$A$5:$G$24,7,FALSE()),0))</f>
        <v>0</v>
      </c>
      <c r="Q242" s="28" t="n">
        <f aca="false">IF($A242="","",IF(N(O242)=0,"",$A242+VLOOKUP(N242,Schichten!$A$5:$G$24,3,FALSE())))</f>
        <v>46625.25</v>
      </c>
      <c r="R242" s="28" t="n">
        <f aca="false">IF(Q242="","",$A242+VLOOKUP(N242,Schichten!$A$5:$G$24,4,FALSE())+IF(VLOOKUP(N242,Schichten!$A$5:$G$24,4,FALSE())&lt;=VLOOKUP(N242,Schichten!$A$5:$G$24,3,FALSE()),1,0))</f>
        <v>46625.5833333333</v>
      </c>
      <c r="S242" s="28" t="n">
        <f aca="false">IF($A242="","",IF(N(O241)&gt;0,R241,S241))</f>
        <v>46623.25</v>
      </c>
      <c r="T242" s="27" t="n">
        <f aca="false">IF(OR(Q242="",S242=""),"",(Q242-S242)*24)</f>
        <v>48</v>
      </c>
      <c r="U242" s="21" t="n">
        <f aca="false">IF($A242="","",IF(N(O242)&gt;0,N(U241)+1,0))</f>
        <v>1</v>
      </c>
      <c r="V242" s="21" t="n">
        <f aca="false">IF($A242="","",IF(N(P242)&gt;0,N(V241)+1,0))</f>
        <v>0</v>
      </c>
      <c r="W242" s="21" t="str">
        <f aca="false">IF($A242="","",IF(WEEKDAY($A242,2)&lt;&gt;7,"",IF(AND(OR(Q242="",N(Q242)&gt;=$A242+16/24,N(R242)&lt;=$A242+6/24),OR(S242="",N(S242)&lt;=$A242+6/24)),1,0)))</f>
        <v/>
      </c>
      <c r="X242" s="26" t="str">
        <f aca="false">IF($A242="","",IF(INDEX(Muster!$C$8:$BF$8,1,MOD($A242-Einstellungen!$C$6,Einstellungen!$C$7)+1)="","-",INDEX(Muster!$C$8:$BF$8,1,MOD($A242-Einstellungen!$C$6,Einstellungen!$C$7)+1)))</f>
        <v>-</v>
      </c>
      <c r="Y242" s="27" t="n">
        <f aca="false">IF($A242="","",IFERROR(VLOOKUP(X242,Schichten!$A$5:$G$24,6,FALSE()),0))</f>
        <v>0</v>
      </c>
      <c r="Z242" s="27" t="n">
        <f aca="false">IF($A242="","",IFERROR(VLOOKUP(X242,Schichten!$A$5:$G$24,7,FALSE()),0))</f>
        <v>0</v>
      </c>
      <c r="AA242" s="28" t="str">
        <f aca="false">IF($A242="","",IF(N(Y242)=0,"",$A242+VLOOKUP(X242,Schichten!$A$5:$G$24,3,FALSE())))</f>
        <v/>
      </c>
      <c r="AB242" s="28" t="str">
        <f aca="false">IF(AA242="","",$A242+VLOOKUP(X242,Schichten!$A$5:$G$24,4,FALSE())+IF(VLOOKUP(X242,Schichten!$A$5:$G$24,4,FALSE())&lt;=VLOOKUP(X242,Schichten!$A$5:$G$24,3,FALSE()),1,0))</f>
        <v/>
      </c>
      <c r="AC242" s="28" t="n">
        <f aca="false">IF($A242="","",IF(N(Y241)&gt;0,AB241,AC241))</f>
        <v>46625.25</v>
      </c>
      <c r="AD242" s="27" t="str">
        <f aca="false">IF(OR(AA242="",AC242=""),"",(AA242-AC242)*24)</f>
        <v/>
      </c>
      <c r="AE242" s="21" t="n">
        <f aca="false">IF($A242="","",IF(N(Y242)&gt;0,N(AE241)+1,0))</f>
        <v>0</v>
      </c>
      <c r="AF242" s="21" t="n">
        <f aca="false">IF($A242="","",IF(N(Z242)&gt;0,N(AF241)+1,0))</f>
        <v>0</v>
      </c>
      <c r="AG242" s="21" t="str">
        <f aca="false">IF($A242="","",IF(WEEKDAY($A242,2)&lt;&gt;7,"",IF(AND(OR(AA242="",N(AA242)&gt;=$A242+16/24,N(AB242)&lt;=$A242+6/24),OR(AC242="",N(AC242)&lt;=$A242+6/24)),1,0)))</f>
        <v/>
      </c>
      <c r="AH242" s="26" t="str">
        <f aca="false">IF($A242="","",IF(INDEX(Muster!$C$9:$BF$9,1,MOD($A242-Einstellungen!$C$6,Einstellungen!$C$7)+1)="","-",INDEX(Muster!$C$9:$BF$9,1,MOD($A242-Einstellungen!$C$6,Einstellungen!$C$7)+1)))</f>
        <v>N</v>
      </c>
      <c r="AI242" s="27" t="n">
        <f aca="false">IF($A242="","",IFERROR(VLOOKUP(AH242,Schichten!$A$5:$G$24,6,FALSE()),0))</f>
        <v>8</v>
      </c>
      <c r="AJ242" s="27" t="n">
        <f aca="false">IF($A242="","",IFERROR(VLOOKUP(AH242,Schichten!$A$5:$G$24,7,FALSE()),0))</f>
        <v>7</v>
      </c>
      <c r="AK242" s="28" t="n">
        <f aca="false">IF($A242="","",IF(N(AI242)=0,"",$A242+VLOOKUP(AH242,Schichten!$A$5:$G$24,3,FALSE())))</f>
        <v>46625.9166666667</v>
      </c>
      <c r="AL242" s="28" t="n">
        <f aca="false">IF(AK242="","",$A242+VLOOKUP(AH242,Schichten!$A$5:$G$24,4,FALSE())+IF(VLOOKUP(AH242,Schichten!$A$5:$G$24,4,FALSE())&lt;=VLOOKUP(AH242,Schichten!$A$5:$G$24,3,FALSE()),1,0))</f>
        <v>46626.25</v>
      </c>
      <c r="AM242" s="28" t="n">
        <f aca="false">IF($A242="","",IF(N(AI241)&gt;0,AL241,AM241))</f>
        <v>46624.9166666667</v>
      </c>
      <c r="AN242" s="27" t="n">
        <f aca="false">IF(OR(AK242="",AM242=""),"",(AK242-AM242)*24)</f>
        <v>24</v>
      </c>
      <c r="AO242" s="21" t="n">
        <f aca="false">IF($A242="","",IF(N(AI242)&gt;0,N(AO241)+1,0))</f>
        <v>5</v>
      </c>
      <c r="AP242" s="21" t="n">
        <f aca="false">IF($A242="","",IF(N(AJ242)&gt;0,N(AP241)+1,0))</f>
        <v>1</v>
      </c>
      <c r="AQ242" s="21" t="str">
        <f aca="false">IF($A242="","",IF(WEEKDAY($A242,2)&lt;&gt;7,"",IF(AND(OR(AK242="",N(AK242)&gt;=$A242+16/24,N(AL242)&lt;=$A242+6/24),OR(AM242="",N(AM242)&lt;=$A242+6/24)),1,0)))</f>
        <v/>
      </c>
      <c r="AR242" s="26" t="str">
        <f aca="false">IF($A242="","",IF(INDEX(Muster!$C$10:$BF$10,1,MOD($A242-Einstellungen!$C$6,Einstellungen!$C$7)+1)="","-",INDEX(Muster!$C$10:$BF$10,1,MOD($A242-Einstellungen!$C$6,Einstellungen!$C$7)+1)))</f>
        <v>-</v>
      </c>
      <c r="AS242" s="27" t="n">
        <f aca="false">IF($A242="","",IFERROR(VLOOKUP(AR242,Schichten!$A$5:$G$24,6,FALSE()),0))</f>
        <v>0</v>
      </c>
      <c r="AT242" s="27" t="n">
        <f aca="false">IF($A242="","",IFERROR(VLOOKUP(AR242,Schichten!$A$5:$G$24,7,FALSE()),0))</f>
        <v>0</v>
      </c>
      <c r="AU242" s="28" t="str">
        <f aca="false">IF($A242="","",IF(N(AS242)=0,"",$A242+VLOOKUP(AR242,Schichten!$A$5:$G$24,3,FALSE())))</f>
        <v/>
      </c>
      <c r="AV242" s="28" t="str">
        <f aca="false">IF(AU242="","",$A242+VLOOKUP(AR242,Schichten!$A$5:$G$24,4,FALSE())+IF(VLOOKUP(AR242,Schichten!$A$5:$G$24,4,FALSE())&lt;=VLOOKUP(AR242,Schichten!$A$5:$G$24,3,FALSE()),1,0))</f>
        <v/>
      </c>
      <c r="AW242" s="28" t="str">
        <f aca="false">IF($A242="","",IF(N(AS241)&gt;0,AV241,AW241))</f>
        <v/>
      </c>
      <c r="AX242" s="27" t="str">
        <f aca="false">IF(OR(AU242="",AW242=""),"",(AU242-AW242)*24)</f>
        <v/>
      </c>
      <c r="AY242" s="21" t="n">
        <f aca="false">IF($A242="","",IF(N(AS242)&gt;0,N(AY241)+1,0))</f>
        <v>0</v>
      </c>
      <c r="AZ242" s="21" t="n">
        <f aca="false">IF($A242="","",IF(N(AT242)&gt;0,N(AZ241)+1,0))</f>
        <v>0</v>
      </c>
      <c r="BA242" s="21" t="str">
        <f aca="false">IF($A242="","",IF(WEEKDAY($A242,2)&lt;&gt;7,"",IF(AND(OR(AU242="",N(AU242)&gt;=$A242+16/24,N(AV242)&lt;=$A242+6/24),OR(AW242="",N(AW242)&lt;=$A242+6/24)),1,0)))</f>
        <v/>
      </c>
    </row>
    <row r="243" customFormat="false" ht="15" hidden="false" customHeight="false" outlineLevel="0" collapsed="false">
      <c r="A243" s="25" t="n">
        <f aca="false">IF(YEAR(DATE(Einstellungen!$C$4,1,1)+238)=Einstellungen!$C$4,DATE(Einstellungen!$C$4,1,1)+238,"")</f>
        <v>46626</v>
      </c>
      <c r="B243" s="26" t="str">
        <f aca="false">IF($A243="","",CHOOSE(WEEKDAY($A243,2),"Mo","Di","Mi","Do","Fr","Sa","So"))</f>
        <v>Fr</v>
      </c>
      <c r="C243" s="26" t="n">
        <f aca="false">IF($A243="","",MONTH($A243))</f>
        <v>8</v>
      </c>
      <c r="D243" s="26" t="str">
        <f aca="false">IF($A243="","",IF(INDEX(Muster!$C$6:$BF$6,1,MOD($A243-Einstellungen!$C$6,Einstellungen!$C$7)+1)="","-",INDEX(Muster!$C$6:$BF$6,1,MOD($A243-Einstellungen!$C$6,Einstellungen!$C$7)+1)))</f>
        <v>S</v>
      </c>
      <c r="E243" s="27" t="n">
        <f aca="false">IF($A243="","",IFERROR(VLOOKUP(D243,Schichten!$A$5:$G$24,6,FALSE()),0))</f>
        <v>8</v>
      </c>
      <c r="F243" s="27" t="n">
        <f aca="false">IF($A243="","",IFERROR(VLOOKUP(D243,Schichten!$A$5:$G$24,7,FALSE()),0))</f>
        <v>0</v>
      </c>
      <c r="G243" s="28" t="n">
        <f aca="false">IF($A243="","",IF(N(E243)=0,"",$A243+VLOOKUP(D243,Schichten!$A$5:$G$24,3,FALSE())))</f>
        <v>46626.5833333333</v>
      </c>
      <c r="H243" s="28" t="n">
        <f aca="false">IF(G243="","",$A243+VLOOKUP(D243,Schichten!$A$5:$G$24,4,FALSE())+IF(VLOOKUP(D243,Schichten!$A$5:$G$24,4,FALSE())&lt;=VLOOKUP(D243,Schichten!$A$5:$G$24,3,FALSE()),1,0))</f>
        <v>46626.9166666667</v>
      </c>
      <c r="I243" s="28" t="n">
        <f aca="false">IF($A243="","",IF(N(E242)&gt;0,H242,I242))</f>
        <v>46625.9166666667</v>
      </c>
      <c r="J243" s="27" t="n">
        <f aca="false">IF(OR(G243="",I243=""),"",(G243-I243)*24)</f>
        <v>16</v>
      </c>
      <c r="K243" s="21" t="n">
        <f aca="false">IF($A243="","",IF(N(E243)&gt;0,N(K242)+1,0))</f>
        <v>4</v>
      </c>
      <c r="L243" s="21" t="n">
        <f aca="false">IF($A243="","",IF(N(F243)&gt;0,N(L242)+1,0))</f>
        <v>0</v>
      </c>
      <c r="M243" s="21" t="str">
        <f aca="false">IF($A243="","",IF(WEEKDAY($A243,2)&lt;&gt;7,"",IF(AND(OR(G243="",N(G243)&gt;=$A243+16/24,N(H243)&lt;=$A243+6/24),OR(I243="",N(I243)&lt;=$A243+6/24)),1,0)))</f>
        <v/>
      </c>
      <c r="N243" s="26" t="str">
        <f aca="false">IF($A243="","",IF(INDEX(Muster!$C$7:$BF$7,1,MOD($A243-Einstellungen!$C$6,Einstellungen!$C$7)+1)="","-",INDEX(Muster!$C$7:$BF$7,1,MOD($A243-Einstellungen!$C$6,Einstellungen!$C$7)+1)))</f>
        <v>F</v>
      </c>
      <c r="O243" s="27" t="n">
        <f aca="false">IF($A243="","",IFERROR(VLOOKUP(N243,Schichten!$A$5:$G$24,6,FALSE()),0))</f>
        <v>8</v>
      </c>
      <c r="P243" s="27" t="n">
        <f aca="false">IF($A243="","",IFERROR(VLOOKUP(N243,Schichten!$A$5:$G$24,7,FALSE()),0))</f>
        <v>0</v>
      </c>
      <c r="Q243" s="28" t="n">
        <f aca="false">IF($A243="","",IF(N(O243)=0,"",$A243+VLOOKUP(N243,Schichten!$A$5:$G$24,3,FALSE())))</f>
        <v>46626.25</v>
      </c>
      <c r="R243" s="28" t="n">
        <f aca="false">IF(Q243="","",$A243+VLOOKUP(N243,Schichten!$A$5:$G$24,4,FALSE())+IF(VLOOKUP(N243,Schichten!$A$5:$G$24,4,FALSE())&lt;=VLOOKUP(N243,Schichten!$A$5:$G$24,3,FALSE()),1,0))</f>
        <v>46626.5833333333</v>
      </c>
      <c r="S243" s="28" t="n">
        <f aca="false">IF($A243="","",IF(N(O242)&gt;0,R242,S242))</f>
        <v>46625.5833333333</v>
      </c>
      <c r="T243" s="27" t="n">
        <f aca="false">IF(OR(Q243="",S243=""),"",(Q243-S243)*24)</f>
        <v>16</v>
      </c>
      <c r="U243" s="21" t="n">
        <f aca="false">IF($A243="","",IF(N(O243)&gt;0,N(U242)+1,0))</f>
        <v>2</v>
      </c>
      <c r="V243" s="21" t="n">
        <f aca="false">IF($A243="","",IF(N(P243)&gt;0,N(V242)+1,0))</f>
        <v>0</v>
      </c>
      <c r="W243" s="21" t="str">
        <f aca="false">IF($A243="","",IF(WEEKDAY($A243,2)&lt;&gt;7,"",IF(AND(OR(Q243="",N(Q243)&gt;=$A243+16/24,N(R243)&lt;=$A243+6/24),OR(S243="",N(S243)&lt;=$A243+6/24)),1,0)))</f>
        <v/>
      </c>
      <c r="X243" s="26" t="str">
        <f aca="false">IF($A243="","",IF(INDEX(Muster!$C$8:$BF$8,1,MOD($A243-Einstellungen!$C$6,Einstellungen!$C$7)+1)="","-",INDEX(Muster!$C$8:$BF$8,1,MOD($A243-Einstellungen!$C$6,Einstellungen!$C$7)+1)))</f>
        <v>-</v>
      </c>
      <c r="Y243" s="27" t="n">
        <f aca="false">IF($A243="","",IFERROR(VLOOKUP(X243,Schichten!$A$5:$G$24,6,FALSE()),0))</f>
        <v>0</v>
      </c>
      <c r="Z243" s="27" t="n">
        <f aca="false">IF($A243="","",IFERROR(VLOOKUP(X243,Schichten!$A$5:$G$24,7,FALSE()),0))</f>
        <v>0</v>
      </c>
      <c r="AA243" s="28" t="str">
        <f aca="false">IF($A243="","",IF(N(Y243)=0,"",$A243+VLOOKUP(X243,Schichten!$A$5:$G$24,3,FALSE())))</f>
        <v/>
      </c>
      <c r="AB243" s="28" t="str">
        <f aca="false">IF(AA243="","",$A243+VLOOKUP(X243,Schichten!$A$5:$G$24,4,FALSE())+IF(VLOOKUP(X243,Schichten!$A$5:$G$24,4,FALSE())&lt;=VLOOKUP(X243,Schichten!$A$5:$G$24,3,FALSE()),1,0))</f>
        <v/>
      </c>
      <c r="AC243" s="28" t="n">
        <f aca="false">IF($A243="","",IF(N(Y242)&gt;0,AB242,AC242))</f>
        <v>46625.25</v>
      </c>
      <c r="AD243" s="27" t="str">
        <f aca="false">IF(OR(AA243="",AC243=""),"",(AA243-AC243)*24)</f>
        <v/>
      </c>
      <c r="AE243" s="21" t="n">
        <f aca="false">IF($A243="","",IF(N(Y243)&gt;0,N(AE242)+1,0))</f>
        <v>0</v>
      </c>
      <c r="AF243" s="21" t="n">
        <f aca="false">IF($A243="","",IF(N(Z243)&gt;0,N(AF242)+1,0))</f>
        <v>0</v>
      </c>
      <c r="AG243" s="21" t="str">
        <f aca="false">IF($A243="","",IF(WEEKDAY($A243,2)&lt;&gt;7,"",IF(AND(OR(AA243="",N(AA243)&gt;=$A243+16/24,N(AB243)&lt;=$A243+6/24),OR(AC243="",N(AC243)&lt;=$A243+6/24)),1,0)))</f>
        <v/>
      </c>
      <c r="AH243" s="26" t="str">
        <f aca="false">IF($A243="","",IF(INDEX(Muster!$C$9:$BF$9,1,MOD($A243-Einstellungen!$C$6,Einstellungen!$C$7)+1)="","-",INDEX(Muster!$C$9:$BF$9,1,MOD($A243-Einstellungen!$C$6,Einstellungen!$C$7)+1)))</f>
        <v>N</v>
      </c>
      <c r="AI243" s="27" t="n">
        <f aca="false">IF($A243="","",IFERROR(VLOOKUP(AH243,Schichten!$A$5:$G$24,6,FALSE()),0))</f>
        <v>8</v>
      </c>
      <c r="AJ243" s="27" t="n">
        <f aca="false">IF($A243="","",IFERROR(VLOOKUP(AH243,Schichten!$A$5:$G$24,7,FALSE()),0))</f>
        <v>7</v>
      </c>
      <c r="AK243" s="28" t="n">
        <f aca="false">IF($A243="","",IF(N(AI243)=0,"",$A243+VLOOKUP(AH243,Schichten!$A$5:$G$24,3,FALSE())))</f>
        <v>46626.9166666667</v>
      </c>
      <c r="AL243" s="28" t="n">
        <f aca="false">IF(AK243="","",$A243+VLOOKUP(AH243,Schichten!$A$5:$G$24,4,FALSE())+IF(VLOOKUP(AH243,Schichten!$A$5:$G$24,4,FALSE())&lt;=VLOOKUP(AH243,Schichten!$A$5:$G$24,3,FALSE()),1,0))</f>
        <v>46627.25</v>
      </c>
      <c r="AM243" s="28" t="n">
        <f aca="false">IF($A243="","",IF(N(AI242)&gt;0,AL242,AM242))</f>
        <v>46626.25</v>
      </c>
      <c r="AN243" s="27" t="n">
        <f aca="false">IF(OR(AK243="",AM243=""),"",(AK243-AM243)*24)</f>
        <v>16</v>
      </c>
      <c r="AO243" s="21" t="n">
        <f aca="false">IF($A243="","",IF(N(AI243)&gt;0,N(AO242)+1,0))</f>
        <v>6</v>
      </c>
      <c r="AP243" s="21" t="n">
        <f aca="false">IF($A243="","",IF(N(AJ243)&gt;0,N(AP242)+1,0))</f>
        <v>2</v>
      </c>
      <c r="AQ243" s="21" t="str">
        <f aca="false">IF($A243="","",IF(WEEKDAY($A243,2)&lt;&gt;7,"",IF(AND(OR(AK243="",N(AK243)&gt;=$A243+16/24,N(AL243)&lt;=$A243+6/24),OR(AM243="",N(AM243)&lt;=$A243+6/24)),1,0)))</f>
        <v/>
      </c>
      <c r="AR243" s="26" t="str">
        <f aca="false">IF($A243="","",IF(INDEX(Muster!$C$10:$BF$10,1,MOD($A243-Einstellungen!$C$6,Einstellungen!$C$7)+1)="","-",INDEX(Muster!$C$10:$BF$10,1,MOD($A243-Einstellungen!$C$6,Einstellungen!$C$7)+1)))</f>
        <v>-</v>
      </c>
      <c r="AS243" s="27" t="n">
        <f aca="false">IF($A243="","",IFERROR(VLOOKUP(AR243,Schichten!$A$5:$G$24,6,FALSE()),0))</f>
        <v>0</v>
      </c>
      <c r="AT243" s="27" t="n">
        <f aca="false">IF($A243="","",IFERROR(VLOOKUP(AR243,Schichten!$A$5:$G$24,7,FALSE()),0))</f>
        <v>0</v>
      </c>
      <c r="AU243" s="28" t="str">
        <f aca="false">IF($A243="","",IF(N(AS243)=0,"",$A243+VLOOKUP(AR243,Schichten!$A$5:$G$24,3,FALSE())))</f>
        <v/>
      </c>
      <c r="AV243" s="28" t="str">
        <f aca="false">IF(AU243="","",$A243+VLOOKUP(AR243,Schichten!$A$5:$G$24,4,FALSE())+IF(VLOOKUP(AR243,Schichten!$A$5:$G$24,4,FALSE())&lt;=VLOOKUP(AR243,Schichten!$A$5:$G$24,3,FALSE()),1,0))</f>
        <v/>
      </c>
      <c r="AW243" s="28" t="str">
        <f aca="false">IF($A243="","",IF(N(AS242)&gt;0,AV242,AW242))</f>
        <v/>
      </c>
      <c r="AX243" s="27" t="str">
        <f aca="false">IF(OR(AU243="",AW243=""),"",(AU243-AW243)*24)</f>
        <v/>
      </c>
      <c r="AY243" s="21" t="n">
        <f aca="false">IF($A243="","",IF(N(AS243)&gt;0,N(AY242)+1,0))</f>
        <v>0</v>
      </c>
      <c r="AZ243" s="21" t="n">
        <f aca="false">IF($A243="","",IF(N(AT243)&gt;0,N(AZ242)+1,0))</f>
        <v>0</v>
      </c>
      <c r="BA243" s="21" t="str">
        <f aca="false">IF($A243="","",IF(WEEKDAY($A243,2)&lt;&gt;7,"",IF(AND(OR(AU243="",N(AU243)&gt;=$A243+16/24,N(AV243)&lt;=$A243+6/24),OR(AW243="",N(AW243)&lt;=$A243+6/24)),1,0)))</f>
        <v/>
      </c>
    </row>
    <row r="244" customFormat="false" ht="15" hidden="false" customHeight="false" outlineLevel="0" collapsed="false">
      <c r="A244" s="25" t="n">
        <f aca="false">IF(YEAR(DATE(Einstellungen!$C$4,1,1)+239)=Einstellungen!$C$4,DATE(Einstellungen!$C$4,1,1)+239,"")</f>
        <v>46627</v>
      </c>
      <c r="B244" s="26" t="str">
        <f aca="false">IF($A244="","",CHOOSE(WEEKDAY($A244,2),"Mo","Di","Mi","Do","Fr","Sa","So"))</f>
        <v>Sa</v>
      </c>
      <c r="C244" s="26" t="n">
        <f aca="false">IF($A244="","",MONTH($A244))</f>
        <v>8</v>
      </c>
      <c r="D244" s="26" t="str">
        <f aca="false">IF($A244="","",IF(INDEX(Muster!$C$6:$BF$6,1,MOD($A244-Einstellungen!$C$6,Einstellungen!$C$7)+1)="","-",INDEX(Muster!$C$6:$BF$6,1,MOD($A244-Einstellungen!$C$6,Einstellungen!$C$7)+1)))</f>
        <v>N</v>
      </c>
      <c r="E244" s="27" t="n">
        <f aca="false">IF($A244="","",IFERROR(VLOOKUP(D244,Schichten!$A$5:$G$24,6,FALSE()),0))</f>
        <v>8</v>
      </c>
      <c r="F244" s="27" t="n">
        <f aca="false">IF($A244="","",IFERROR(VLOOKUP(D244,Schichten!$A$5:$G$24,7,FALSE()),0))</f>
        <v>7</v>
      </c>
      <c r="G244" s="28" t="n">
        <f aca="false">IF($A244="","",IF(N(E244)=0,"",$A244+VLOOKUP(D244,Schichten!$A$5:$G$24,3,FALSE())))</f>
        <v>46627.9166666667</v>
      </c>
      <c r="H244" s="28" t="n">
        <f aca="false">IF(G244="","",$A244+VLOOKUP(D244,Schichten!$A$5:$G$24,4,FALSE())+IF(VLOOKUP(D244,Schichten!$A$5:$G$24,4,FALSE())&lt;=VLOOKUP(D244,Schichten!$A$5:$G$24,3,FALSE()),1,0))</f>
        <v>46628.25</v>
      </c>
      <c r="I244" s="28" t="n">
        <f aca="false">IF($A244="","",IF(N(E243)&gt;0,H243,I243))</f>
        <v>46626.9166666667</v>
      </c>
      <c r="J244" s="27" t="n">
        <f aca="false">IF(OR(G244="",I244=""),"",(G244-I244)*24)</f>
        <v>24</v>
      </c>
      <c r="K244" s="21" t="n">
        <f aca="false">IF($A244="","",IF(N(E244)&gt;0,N(K243)+1,0))</f>
        <v>5</v>
      </c>
      <c r="L244" s="21" t="n">
        <f aca="false">IF($A244="","",IF(N(F244)&gt;0,N(L243)+1,0))</f>
        <v>1</v>
      </c>
      <c r="M244" s="21" t="str">
        <f aca="false">IF($A244="","",IF(WEEKDAY($A244,2)&lt;&gt;7,"",IF(AND(OR(G244="",N(G244)&gt;=$A244+16/24,N(H244)&lt;=$A244+6/24),OR(I244="",N(I244)&lt;=$A244+6/24)),1,0)))</f>
        <v/>
      </c>
      <c r="N244" s="26" t="str">
        <f aca="false">IF($A244="","",IF(INDEX(Muster!$C$7:$BF$7,1,MOD($A244-Einstellungen!$C$6,Einstellungen!$C$7)+1)="","-",INDEX(Muster!$C$7:$BF$7,1,MOD($A244-Einstellungen!$C$6,Einstellungen!$C$7)+1)))</f>
        <v>S</v>
      </c>
      <c r="O244" s="27" t="n">
        <f aca="false">IF($A244="","",IFERROR(VLOOKUP(N244,Schichten!$A$5:$G$24,6,FALSE()),0))</f>
        <v>8</v>
      </c>
      <c r="P244" s="27" t="n">
        <f aca="false">IF($A244="","",IFERROR(VLOOKUP(N244,Schichten!$A$5:$G$24,7,FALSE()),0))</f>
        <v>0</v>
      </c>
      <c r="Q244" s="28" t="n">
        <f aca="false">IF($A244="","",IF(N(O244)=0,"",$A244+VLOOKUP(N244,Schichten!$A$5:$G$24,3,FALSE())))</f>
        <v>46627.5833333333</v>
      </c>
      <c r="R244" s="28" t="n">
        <f aca="false">IF(Q244="","",$A244+VLOOKUP(N244,Schichten!$A$5:$G$24,4,FALSE())+IF(VLOOKUP(N244,Schichten!$A$5:$G$24,4,FALSE())&lt;=VLOOKUP(N244,Schichten!$A$5:$G$24,3,FALSE()),1,0))</f>
        <v>46627.9166666667</v>
      </c>
      <c r="S244" s="28" t="n">
        <f aca="false">IF($A244="","",IF(N(O243)&gt;0,R243,S243))</f>
        <v>46626.5833333333</v>
      </c>
      <c r="T244" s="27" t="n">
        <f aca="false">IF(OR(Q244="",S244=""),"",(Q244-S244)*24)</f>
        <v>24</v>
      </c>
      <c r="U244" s="21" t="n">
        <f aca="false">IF($A244="","",IF(N(O244)&gt;0,N(U243)+1,0))</f>
        <v>3</v>
      </c>
      <c r="V244" s="21" t="n">
        <f aca="false">IF($A244="","",IF(N(P244)&gt;0,N(V243)+1,0))</f>
        <v>0</v>
      </c>
      <c r="W244" s="21" t="str">
        <f aca="false">IF($A244="","",IF(WEEKDAY($A244,2)&lt;&gt;7,"",IF(AND(OR(Q244="",N(Q244)&gt;=$A244+16/24,N(R244)&lt;=$A244+6/24),OR(S244="",N(S244)&lt;=$A244+6/24)),1,0)))</f>
        <v/>
      </c>
      <c r="X244" s="26" t="str">
        <f aca="false">IF($A244="","",IF(INDEX(Muster!$C$8:$BF$8,1,MOD($A244-Einstellungen!$C$6,Einstellungen!$C$7)+1)="","-",INDEX(Muster!$C$8:$BF$8,1,MOD($A244-Einstellungen!$C$6,Einstellungen!$C$7)+1)))</f>
        <v>F</v>
      </c>
      <c r="Y244" s="27" t="n">
        <f aca="false">IF($A244="","",IFERROR(VLOOKUP(X244,Schichten!$A$5:$G$24,6,FALSE()),0))</f>
        <v>8</v>
      </c>
      <c r="Z244" s="27" t="n">
        <f aca="false">IF($A244="","",IFERROR(VLOOKUP(X244,Schichten!$A$5:$G$24,7,FALSE()),0))</f>
        <v>0</v>
      </c>
      <c r="AA244" s="28" t="n">
        <f aca="false">IF($A244="","",IF(N(Y244)=0,"",$A244+VLOOKUP(X244,Schichten!$A$5:$G$24,3,FALSE())))</f>
        <v>46627.25</v>
      </c>
      <c r="AB244" s="28" t="n">
        <f aca="false">IF(AA244="","",$A244+VLOOKUP(X244,Schichten!$A$5:$G$24,4,FALSE())+IF(VLOOKUP(X244,Schichten!$A$5:$G$24,4,FALSE())&lt;=VLOOKUP(X244,Schichten!$A$5:$G$24,3,FALSE()),1,0))</f>
        <v>46627.5833333333</v>
      </c>
      <c r="AC244" s="28" t="n">
        <f aca="false">IF($A244="","",IF(N(Y243)&gt;0,AB243,AC243))</f>
        <v>46625.25</v>
      </c>
      <c r="AD244" s="27" t="n">
        <f aca="false">IF(OR(AA244="",AC244=""),"",(AA244-AC244)*24)</f>
        <v>48</v>
      </c>
      <c r="AE244" s="21" t="n">
        <f aca="false">IF($A244="","",IF(N(Y244)&gt;0,N(AE243)+1,0))</f>
        <v>1</v>
      </c>
      <c r="AF244" s="21" t="n">
        <f aca="false">IF($A244="","",IF(N(Z244)&gt;0,N(AF243)+1,0))</f>
        <v>0</v>
      </c>
      <c r="AG244" s="21" t="str">
        <f aca="false">IF($A244="","",IF(WEEKDAY($A244,2)&lt;&gt;7,"",IF(AND(OR(AA244="",N(AA244)&gt;=$A244+16/24,N(AB244)&lt;=$A244+6/24),OR(AC244="",N(AC244)&lt;=$A244+6/24)),1,0)))</f>
        <v/>
      </c>
      <c r="AH244" s="26" t="str">
        <f aca="false">IF($A244="","",IF(INDEX(Muster!$C$9:$BF$9,1,MOD($A244-Einstellungen!$C$6,Einstellungen!$C$7)+1)="","-",INDEX(Muster!$C$9:$BF$9,1,MOD($A244-Einstellungen!$C$6,Einstellungen!$C$7)+1)))</f>
        <v>-</v>
      </c>
      <c r="AI244" s="27" t="n">
        <f aca="false">IF($A244="","",IFERROR(VLOOKUP(AH244,Schichten!$A$5:$G$24,6,FALSE()),0))</f>
        <v>0</v>
      </c>
      <c r="AJ244" s="27" t="n">
        <f aca="false">IF($A244="","",IFERROR(VLOOKUP(AH244,Schichten!$A$5:$G$24,7,FALSE()),0))</f>
        <v>0</v>
      </c>
      <c r="AK244" s="28" t="str">
        <f aca="false">IF($A244="","",IF(N(AI244)=0,"",$A244+VLOOKUP(AH244,Schichten!$A$5:$G$24,3,FALSE())))</f>
        <v/>
      </c>
      <c r="AL244" s="28" t="str">
        <f aca="false">IF(AK244="","",$A244+VLOOKUP(AH244,Schichten!$A$5:$G$24,4,FALSE())+IF(VLOOKUP(AH244,Schichten!$A$5:$G$24,4,FALSE())&lt;=VLOOKUP(AH244,Schichten!$A$5:$G$24,3,FALSE()),1,0))</f>
        <v/>
      </c>
      <c r="AM244" s="28" t="n">
        <f aca="false">IF($A244="","",IF(N(AI243)&gt;0,AL243,AM243))</f>
        <v>46627.25</v>
      </c>
      <c r="AN244" s="27" t="str">
        <f aca="false">IF(OR(AK244="",AM244=""),"",(AK244-AM244)*24)</f>
        <v/>
      </c>
      <c r="AO244" s="21" t="n">
        <f aca="false">IF($A244="","",IF(N(AI244)&gt;0,N(AO243)+1,0))</f>
        <v>0</v>
      </c>
      <c r="AP244" s="21" t="n">
        <f aca="false">IF($A244="","",IF(N(AJ244)&gt;0,N(AP243)+1,0))</f>
        <v>0</v>
      </c>
      <c r="AQ244" s="21" t="str">
        <f aca="false">IF($A244="","",IF(WEEKDAY($A244,2)&lt;&gt;7,"",IF(AND(OR(AK244="",N(AK244)&gt;=$A244+16/24,N(AL244)&lt;=$A244+6/24),OR(AM244="",N(AM244)&lt;=$A244+6/24)),1,0)))</f>
        <v/>
      </c>
      <c r="AR244" s="26" t="str">
        <f aca="false">IF($A244="","",IF(INDEX(Muster!$C$10:$BF$10,1,MOD($A244-Einstellungen!$C$6,Einstellungen!$C$7)+1)="","-",INDEX(Muster!$C$10:$BF$10,1,MOD($A244-Einstellungen!$C$6,Einstellungen!$C$7)+1)))</f>
        <v>-</v>
      </c>
      <c r="AS244" s="27" t="n">
        <f aca="false">IF($A244="","",IFERROR(VLOOKUP(AR244,Schichten!$A$5:$G$24,6,FALSE()),0))</f>
        <v>0</v>
      </c>
      <c r="AT244" s="27" t="n">
        <f aca="false">IF($A244="","",IFERROR(VLOOKUP(AR244,Schichten!$A$5:$G$24,7,FALSE()),0))</f>
        <v>0</v>
      </c>
      <c r="AU244" s="28" t="str">
        <f aca="false">IF($A244="","",IF(N(AS244)=0,"",$A244+VLOOKUP(AR244,Schichten!$A$5:$G$24,3,FALSE())))</f>
        <v/>
      </c>
      <c r="AV244" s="28" t="str">
        <f aca="false">IF(AU244="","",$A244+VLOOKUP(AR244,Schichten!$A$5:$G$24,4,FALSE())+IF(VLOOKUP(AR244,Schichten!$A$5:$G$24,4,FALSE())&lt;=VLOOKUP(AR244,Schichten!$A$5:$G$24,3,FALSE()),1,0))</f>
        <v/>
      </c>
      <c r="AW244" s="28" t="str">
        <f aca="false">IF($A244="","",IF(N(AS243)&gt;0,AV243,AW243))</f>
        <v/>
      </c>
      <c r="AX244" s="27" t="str">
        <f aca="false">IF(OR(AU244="",AW244=""),"",(AU244-AW244)*24)</f>
        <v/>
      </c>
      <c r="AY244" s="21" t="n">
        <f aca="false">IF($A244="","",IF(N(AS244)&gt;0,N(AY243)+1,0))</f>
        <v>0</v>
      </c>
      <c r="AZ244" s="21" t="n">
        <f aca="false">IF($A244="","",IF(N(AT244)&gt;0,N(AZ243)+1,0))</f>
        <v>0</v>
      </c>
      <c r="BA244" s="21" t="str">
        <f aca="false">IF($A244="","",IF(WEEKDAY($A244,2)&lt;&gt;7,"",IF(AND(OR(AU244="",N(AU244)&gt;=$A244+16/24,N(AV244)&lt;=$A244+6/24),OR(AW244="",N(AW244)&lt;=$A244+6/24)),1,0)))</f>
        <v/>
      </c>
    </row>
    <row r="245" customFormat="false" ht="15" hidden="false" customHeight="false" outlineLevel="0" collapsed="false">
      <c r="A245" s="25" t="n">
        <f aca="false">IF(YEAR(DATE(Einstellungen!$C$4,1,1)+240)=Einstellungen!$C$4,DATE(Einstellungen!$C$4,1,1)+240,"")</f>
        <v>46628</v>
      </c>
      <c r="B245" s="26" t="str">
        <f aca="false">IF($A245="","",CHOOSE(WEEKDAY($A245,2),"Mo","Di","Mi","Do","Fr","Sa","So"))</f>
        <v>So</v>
      </c>
      <c r="C245" s="26" t="n">
        <f aca="false">IF($A245="","",MONTH($A245))</f>
        <v>8</v>
      </c>
      <c r="D245" s="26" t="str">
        <f aca="false">IF($A245="","",IF(INDEX(Muster!$C$6:$BF$6,1,MOD($A245-Einstellungen!$C$6,Einstellungen!$C$7)+1)="","-",INDEX(Muster!$C$6:$BF$6,1,MOD($A245-Einstellungen!$C$6,Einstellungen!$C$7)+1)))</f>
        <v>N</v>
      </c>
      <c r="E245" s="27" t="n">
        <f aca="false">IF($A245="","",IFERROR(VLOOKUP(D245,Schichten!$A$5:$G$24,6,FALSE()),0))</f>
        <v>8</v>
      </c>
      <c r="F245" s="27" t="n">
        <f aca="false">IF($A245="","",IFERROR(VLOOKUP(D245,Schichten!$A$5:$G$24,7,FALSE()),0))</f>
        <v>7</v>
      </c>
      <c r="G245" s="28" t="n">
        <f aca="false">IF($A245="","",IF(N(E245)=0,"",$A245+VLOOKUP(D245,Schichten!$A$5:$G$24,3,FALSE())))</f>
        <v>46628.9166666667</v>
      </c>
      <c r="H245" s="28" t="n">
        <f aca="false">IF(G245="","",$A245+VLOOKUP(D245,Schichten!$A$5:$G$24,4,FALSE())+IF(VLOOKUP(D245,Schichten!$A$5:$G$24,4,FALSE())&lt;=VLOOKUP(D245,Schichten!$A$5:$G$24,3,FALSE()),1,0))</f>
        <v>46629.25</v>
      </c>
      <c r="I245" s="28" t="n">
        <f aca="false">IF($A245="","",IF(N(E244)&gt;0,H244,I244))</f>
        <v>46628.25</v>
      </c>
      <c r="J245" s="27" t="n">
        <f aca="false">IF(OR(G245="",I245=""),"",(G245-I245)*24)</f>
        <v>16</v>
      </c>
      <c r="K245" s="21" t="n">
        <f aca="false">IF($A245="","",IF(N(E245)&gt;0,N(K244)+1,0))</f>
        <v>6</v>
      </c>
      <c r="L245" s="21" t="n">
        <f aca="false">IF($A245="","",IF(N(F245)&gt;0,N(L244)+1,0))</f>
        <v>2</v>
      </c>
      <c r="M245" s="21" t="n">
        <f aca="false">IF($A245="","",IF(WEEKDAY($A245,2)&lt;&gt;7,"",IF(AND(OR(G245="",N(G245)&gt;=$A245+16/24,N(H245)&lt;=$A245+6/24),OR(I245="",N(I245)&lt;=$A245+6/24)),1,0)))</f>
        <v>1</v>
      </c>
      <c r="N245" s="26" t="str">
        <f aca="false">IF($A245="","",IF(INDEX(Muster!$C$7:$BF$7,1,MOD($A245-Einstellungen!$C$6,Einstellungen!$C$7)+1)="","-",INDEX(Muster!$C$7:$BF$7,1,MOD($A245-Einstellungen!$C$6,Einstellungen!$C$7)+1)))</f>
        <v>S</v>
      </c>
      <c r="O245" s="27" t="n">
        <f aca="false">IF($A245="","",IFERROR(VLOOKUP(N245,Schichten!$A$5:$G$24,6,FALSE()),0))</f>
        <v>8</v>
      </c>
      <c r="P245" s="27" t="n">
        <f aca="false">IF($A245="","",IFERROR(VLOOKUP(N245,Schichten!$A$5:$G$24,7,FALSE()),0))</f>
        <v>0</v>
      </c>
      <c r="Q245" s="28" t="n">
        <f aca="false">IF($A245="","",IF(N(O245)=0,"",$A245+VLOOKUP(N245,Schichten!$A$5:$G$24,3,FALSE())))</f>
        <v>46628.5833333333</v>
      </c>
      <c r="R245" s="28" t="n">
        <f aca="false">IF(Q245="","",$A245+VLOOKUP(N245,Schichten!$A$5:$G$24,4,FALSE())+IF(VLOOKUP(N245,Schichten!$A$5:$G$24,4,FALSE())&lt;=VLOOKUP(N245,Schichten!$A$5:$G$24,3,FALSE()),1,0))</f>
        <v>46628.9166666667</v>
      </c>
      <c r="S245" s="28" t="n">
        <f aca="false">IF($A245="","",IF(N(O244)&gt;0,R244,S244))</f>
        <v>46627.9166666667</v>
      </c>
      <c r="T245" s="27" t="n">
        <f aca="false">IF(OR(Q245="",S245=""),"",(Q245-S245)*24)</f>
        <v>16</v>
      </c>
      <c r="U245" s="21" t="n">
        <f aca="false">IF($A245="","",IF(N(O245)&gt;0,N(U244)+1,0))</f>
        <v>4</v>
      </c>
      <c r="V245" s="21" t="n">
        <f aca="false">IF($A245="","",IF(N(P245)&gt;0,N(V244)+1,0))</f>
        <v>0</v>
      </c>
      <c r="W245" s="21" t="n">
        <f aca="false">IF($A245="","",IF(WEEKDAY($A245,2)&lt;&gt;7,"",IF(AND(OR(Q245="",N(Q245)&gt;=$A245+16/24,N(R245)&lt;=$A245+6/24),OR(S245="",N(S245)&lt;=$A245+6/24)),1,0)))</f>
        <v>0</v>
      </c>
      <c r="X245" s="26" t="str">
        <f aca="false">IF($A245="","",IF(INDEX(Muster!$C$8:$BF$8,1,MOD($A245-Einstellungen!$C$6,Einstellungen!$C$7)+1)="","-",INDEX(Muster!$C$8:$BF$8,1,MOD($A245-Einstellungen!$C$6,Einstellungen!$C$7)+1)))</f>
        <v>F</v>
      </c>
      <c r="Y245" s="27" t="n">
        <f aca="false">IF($A245="","",IFERROR(VLOOKUP(X245,Schichten!$A$5:$G$24,6,FALSE()),0))</f>
        <v>8</v>
      </c>
      <c r="Z245" s="27" t="n">
        <f aca="false">IF($A245="","",IFERROR(VLOOKUP(X245,Schichten!$A$5:$G$24,7,FALSE()),0))</f>
        <v>0</v>
      </c>
      <c r="AA245" s="28" t="n">
        <f aca="false">IF($A245="","",IF(N(Y245)=0,"",$A245+VLOOKUP(X245,Schichten!$A$5:$G$24,3,FALSE())))</f>
        <v>46628.25</v>
      </c>
      <c r="AB245" s="28" t="n">
        <f aca="false">IF(AA245="","",$A245+VLOOKUP(X245,Schichten!$A$5:$G$24,4,FALSE())+IF(VLOOKUP(X245,Schichten!$A$5:$G$24,4,FALSE())&lt;=VLOOKUP(X245,Schichten!$A$5:$G$24,3,FALSE()),1,0))</f>
        <v>46628.5833333333</v>
      </c>
      <c r="AC245" s="28" t="n">
        <f aca="false">IF($A245="","",IF(N(Y244)&gt;0,AB244,AC244))</f>
        <v>46627.5833333333</v>
      </c>
      <c r="AD245" s="27" t="n">
        <f aca="false">IF(OR(AA245="",AC245=""),"",(AA245-AC245)*24)</f>
        <v>16</v>
      </c>
      <c r="AE245" s="21" t="n">
        <f aca="false">IF($A245="","",IF(N(Y245)&gt;0,N(AE244)+1,0))</f>
        <v>2</v>
      </c>
      <c r="AF245" s="21" t="n">
        <f aca="false">IF($A245="","",IF(N(Z245)&gt;0,N(AF244)+1,0))</f>
        <v>0</v>
      </c>
      <c r="AG245" s="21" t="n">
        <f aca="false">IF($A245="","",IF(WEEKDAY($A245,2)&lt;&gt;7,"",IF(AND(OR(AA245="",N(AA245)&gt;=$A245+16/24,N(AB245)&lt;=$A245+6/24),OR(AC245="",N(AC245)&lt;=$A245+6/24)),1,0)))</f>
        <v>0</v>
      </c>
      <c r="AH245" s="26" t="str">
        <f aca="false">IF($A245="","",IF(INDEX(Muster!$C$9:$BF$9,1,MOD($A245-Einstellungen!$C$6,Einstellungen!$C$7)+1)="","-",INDEX(Muster!$C$9:$BF$9,1,MOD($A245-Einstellungen!$C$6,Einstellungen!$C$7)+1)))</f>
        <v>-</v>
      </c>
      <c r="AI245" s="27" t="n">
        <f aca="false">IF($A245="","",IFERROR(VLOOKUP(AH245,Schichten!$A$5:$G$24,6,FALSE()),0))</f>
        <v>0</v>
      </c>
      <c r="AJ245" s="27" t="n">
        <f aca="false">IF($A245="","",IFERROR(VLOOKUP(AH245,Schichten!$A$5:$G$24,7,FALSE()),0))</f>
        <v>0</v>
      </c>
      <c r="AK245" s="28" t="str">
        <f aca="false">IF($A245="","",IF(N(AI245)=0,"",$A245+VLOOKUP(AH245,Schichten!$A$5:$G$24,3,FALSE())))</f>
        <v/>
      </c>
      <c r="AL245" s="28" t="str">
        <f aca="false">IF(AK245="","",$A245+VLOOKUP(AH245,Schichten!$A$5:$G$24,4,FALSE())+IF(VLOOKUP(AH245,Schichten!$A$5:$G$24,4,FALSE())&lt;=VLOOKUP(AH245,Schichten!$A$5:$G$24,3,FALSE()),1,0))</f>
        <v/>
      </c>
      <c r="AM245" s="28" t="n">
        <f aca="false">IF($A245="","",IF(N(AI244)&gt;0,AL244,AM244))</f>
        <v>46627.25</v>
      </c>
      <c r="AN245" s="27" t="str">
        <f aca="false">IF(OR(AK245="",AM245=""),"",(AK245-AM245)*24)</f>
        <v/>
      </c>
      <c r="AO245" s="21" t="n">
        <f aca="false">IF($A245="","",IF(N(AI245)&gt;0,N(AO244)+1,0))</f>
        <v>0</v>
      </c>
      <c r="AP245" s="21" t="n">
        <f aca="false">IF($A245="","",IF(N(AJ245)&gt;0,N(AP244)+1,0))</f>
        <v>0</v>
      </c>
      <c r="AQ245" s="21" t="n">
        <f aca="false">IF($A245="","",IF(WEEKDAY($A245,2)&lt;&gt;7,"",IF(AND(OR(AK245="",N(AK245)&gt;=$A245+16/24,N(AL245)&lt;=$A245+6/24),OR(AM245="",N(AM245)&lt;=$A245+6/24)),1,0)))</f>
        <v>1</v>
      </c>
      <c r="AR245" s="26" t="str">
        <f aca="false">IF($A245="","",IF(INDEX(Muster!$C$10:$BF$10,1,MOD($A245-Einstellungen!$C$6,Einstellungen!$C$7)+1)="","-",INDEX(Muster!$C$10:$BF$10,1,MOD($A245-Einstellungen!$C$6,Einstellungen!$C$7)+1)))</f>
        <v>-</v>
      </c>
      <c r="AS245" s="27" t="n">
        <f aca="false">IF($A245="","",IFERROR(VLOOKUP(AR245,Schichten!$A$5:$G$24,6,FALSE()),0))</f>
        <v>0</v>
      </c>
      <c r="AT245" s="27" t="n">
        <f aca="false">IF($A245="","",IFERROR(VLOOKUP(AR245,Schichten!$A$5:$G$24,7,FALSE()),0))</f>
        <v>0</v>
      </c>
      <c r="AU245" s="28" t="str">
        <f aca="false">IF($A245="","",IF(N(AS245)=0,"",$A245+VLOOKUP(AR245,Schichten!$A$5:$G$24,3,FALSE())))</f>
        <v/>
      </c>
      <c r="AV245" s="28" t="str">
        <f aca="false">IF(AU245="","",$A245+VLOOKUP(AR245,Schichten!$A$5:$G$24,4,FALSE())+IF(VLOOKUP(AR245,Schichten!$A$5:$G$24,4,FALSE())&lt;=VLOOKUP(AR245,Schichten!$A$5:$G$24,3,FALSE()),1,0))</f>
        <v/>
      </c>
      <c r="AW245" s="28" t="str">
        <f aca="false">IF($A245="","",IF(N(AS244)&gt;0,AV244,AW244))</f>
        <v/>
      </c>
      <c r="AX245" s="27" t="str">
        <f aca="false">IF(OR(AU245="",AW245=""),"",(AU245-AW245)*24)</f>
        <v/>
      </c>
      <c r="AY245" s="21" t="n">
        <f aca="false">IF($A245="","",IF(N(AS245)&gt;0,N(AY244)+1,0))</f>
        <v>0</v>
      </c>
      <c r="AZ245" s="21" t="n">
        <f aca="false">IF($A245="","",IF(N(AT245)&gt;0,N(AZ244)+1,0))</f>
        <v>0</v>
      </c>
      <c r="BA245" s="21" t="n">
        <f aca="false">IF($A245="","",IF(WEEKDAY($A245,2)&lt;&gt;7,"",IF(AND(OR(AU245="",N(AU245)&gt;=$A245+16/24,N(AV245)&lt;=$A245+6/24),OR(AW245="",N(AW245)&lt;=$A245+6/24)),1,0)))</f>
        <v>1</v>
      </c>
    </row>
    <row r="246" customFormat="false" ht="15" hidden="false" customHeight="false" outlineLevel="0" collapsed="false">
      <c r="A246" s="25" t="n">
        <f aca="false">IF(YEAR(DATE(Einstellungen!$C$4,1,1)+241)=Einstellungen!$C$4,DATE(Einstellungen!$C$4,1,1)+241,"")</f>
        <v>46629</v>
      </c>
      <c r="B246" s="26" t="str">
        <f aca="false">IF($A246="","",CHOOSE(WEEKDAY($A246,2),"Mo","Di","Mi","Do","Fr","Sa","So"))</f>
        <v>Mo</v>
      </c>
      <c r="C246" s="26" t="n">
        <f aca="false">IF($A246="","",MONTH($A246))</f>
        <v>8</v>
      </c>
      <c r="D246" s="26" t="str">
        <f aca="false">IF($A246="","",IF(INDEX(Muster!$C$6:$BF$6,1,MOD($A246-Einstellungen!$C$6,Einstellungen!$C$7)+1)="","-",INDEX(Muster!$C$6:$BF$6,1,MOD($A246-Einstellungen!$C$6,Einstellungen!$C$7)+1)))</f>
        <v>-</v>
      </c>
      <c r="E246" s="27" t="n">
        <f aca="false">IF($A246="","",IFERROR(VLOOKUP(D246,Schichten!$A$5:$G$24,6,FALSE()),0))</f>
        <v>0</v>
      </c>
      <c r="F246" s="27" t="n">
        <f aca="false">IF($A246="","",IFERROR(VLOOKUP(D246,Schichten!$A$5:$G$24,7,FALSE()),0))</f>
        <v>0</v>
      </c>
      <c r="G246" s="28" t="str">
        <f aca="false">IF($A246="","",IF(N(E246)=0,"",$A246+VLOOKUP(D246,Schichten!$A$5:$G$24,3,FALSE())))</f>
        <v/>
      </c>
      <c r="H246" s="28" t="str">
        <f aca="false">IF(G246="","",$A246+VLOOKUP(D246,Schichten!$A$5:$G$24,4,FALSE())+IF(VLOOKUP(D246,Schichten!$A$5:$G$24,4,FALSE())&lt;=VLOOKUP(D246,Schichten!$A$5:$G$24,3,FALSE()),1,0))</f>
        <v/>
      </c>
      <c r="I246" s="28" t="n">
        <f aca="false">IF($A246="","",IF(N(E245)&gt;0,H245,I245))</f>
        <v>46629.25</v>
      </c>
      <c r="J246" s="27" t="str">
        <f aca="false">IF(OR(G246="",I246=""),"",(G246-I246)*24)</f>
        <v/>
      </c>
      <c r="K246" s="21" t="n">
        <f aca="false">IF($A246="","",IF(N(E246)&gt;0,N(K245)+1,0))</f>
        <v>0</v>
      </c>
      <c r="L246" s="21" t="n">
        <f aca="false">IF($A246="","",IF(N(F246)&gt;0,N(L245)+1,0))</f>
        <v>0</v>
      </c>
      <c r="M246" s="21" t="str">
        <f aca="false">IF($A246="","",IF(WEEKDAY($A246,2)&lt;&gt;7,"",IF(AND(OR(G246="",N(G246)&gt;=$A246+16/24,N(H246)&lt;=$A246+6/24),OR(I246="",N(I246)&lt;=$A246+6/24)),1,0)))</f>
        <v/>
      </c>
      <c r="N246" s="26" t="str">
        <f aca="false">IF($A246="","",IF(INDEX(Muster!$C$7:$BF$7,1,MOD($A246-Einstellungen!$C$6,Einstellungen!$C$7)+1)="","-",INDEX(Muster!$C$7:$BF$7,1,MOD($A246-Einstellungen!$C$6,Einstellungen!$C$7)+1)))</f>
        <v>N</v>
      </c>
      <c r="O246" s="27" t="n">
        <f aca="false">IF($A246="","",IFERROR(VLOOKUP(N246,Schichten!$A$5:$G$24,6,FALSE()),0))</f>
        <v>8</v>
      </c>
      <c r="P246" s="27" t="n">
        <f aca="false">IF($A246="","",IFERROR(VLOOKUP(N246,Schichten!$A$5:$G$24,7,FALSE()),0))</f>
        <v>7</v>
      </c>
      <c r="Q246" s="28" t="n">
        <f aca="false">IF($A246="","",IF(N(O246)=0,"",$A246+VLOOKUP(N246,Schichten!$A$5:$G$24,3,FALSE())))</f>
        <v>46629.9166666667</v>
      </c>
      <c r="R246" s="28" t="n">
        <f aca="false">IF(Q246="","",$A246+VLOOKUP(N246,Schichten!$A$5:$G$24,4,FALSE())+IF(VLOOKUP(N246,Schichten!$A$5:$G$24,4,FALSE())&lt;=VLOOKUP(N246,Schichten!$A$5:$G$24,3,FALSE()),1,0))</f>
        <v>46630.25</v>
      </c>
      <c r="S246" s="28" t="n">
        <f aca="false">IF($A246="","",IF(N(O245)&gt;0,R245,S245))</f>
        <v>46628.9166666667</v>
      </c>
      <c r="T246" s="27" t="n">
        <f aca="false">IF(OR(Q246="",S246=""),"",(Q246-S246)*24)</f>
        <v>24</v>
      </c>
      <c r="U246" s="21" t="n">
        <f aca="false">IF($A246="","",IF(N(O246)&gt;0,N(U245)+1,0))</f>
        <v>5</v>
      </c>
      <c r="V246" s="21" t="n">
        <f aca="false">IF($A246="","",IF(N(P246)&gt;0,N(V245)+1,0))</f>
        <v>1</v>
      </c>
      <c r="W246" s="21" t="str">
        <f aca="false">IF($A246="","",IF(WEEKDAY($A246,2)&lt;&gt;7,"",IF(AND(OR(Q246="",N(Q246)&gt;=$A246+16/24,N(R246)&lt;=$A246+6/24),OR(S246="",N(S246)&lt;=$A246+6/24)),1,0)))</f>
        <v/>
      </c>
      <c r="X246" s="26" t="str">
        <f aca="false">IF($A246="","",IF(INDEX(Muster!$C$8:$BF$8,1,MOD($A246-Einstellungen!$C$6,Einstellungen!$C$7)+1)="","-",INDEX(Muster!$C$8:$BF$8,1,MOD($A246-Einstellungen!$C$6,Einstellungen!$C$7)+1)))</f>
        <v>S</v>
      </c>
      <c r="Y246" s="27" t="n">
        <f aca="false">IF($A246="","",IFERROR(VLOOKUP(X246,Schichten!$A$5:$G$24,6,FALSE()),0))</f>
        <v>8</v>
      </c>
      <c r="Z246" s="27" t="n">
        <f aca="false">IF($A246="","",IFERROR(VLOOKUP(X246,Schichten!$A$5:$G$24,7,FALSE()),0))</f>
        <v>0</v>
      </c>
      <c r="AA246" s="28" t="n">
        <f aca="false">IF($A246="","",IF(N(Y246)=0,"",$A246+VLOOKUP(X246,Schichten!$A$5:$G$24,3,FALSE())))</f>
        <v>46629.5833333333</v>
      </c>
      <c r="AB246" s="28" t="n">
        <f aca="false">IF(AA246="","",$A246+VLOOKUP(X246,Schichten!$A$5:$G$24,4,FALSE())+IF(VLOOKUP(X246,Schichten!$A$5:$G$24,4,FALSE())&lt;=VLOOKUP(X246,Schichten!$A$5:$G$24,3,FALSE()),1,0))</f>
        <v>46629.9166666667</v>
      </c>
      <c r="AC246" s="28" t="n">
        <f aca="false">IF($A246="","",IF(N(Y245)&gt;0,AB245,AC245))</f>
        <v>46628.5833333333</v>
      </c>
      <c r="AD246" s="27" t="n">
        <f aca="false">IF(OR(AA246="",AC246=""),"",(AA246-AC246)*24)</f>
        <v>24</v>
      </c>
      <c r="AE246" s="21" t="n">
        <f aca="false">IF($A246="","",IF(N(Y246)&gt;0,N(AE245)+1,0))</f>
        <v>3</v>
      </c>
      <c r="AF246" s="21" t="n">
        <f aca="false">IF($A246="","",IF(N(Z246)&gt;0,N(AF245)+1,0))</f>
        <v>0</v>
      </c>
      <c r="AG246" s="21" t="str">
        <f aca="false">IF($A246="","",IF(WEEKDAY($A246,2)&lt;&gt;7,"",IF(AND(OR(AA246="",N(AA246)&gt;=$A246+16/24,N(AB246)&lt;=$A246+6/24),OR(AC246="",N(AC246)&lt;=$A246+6/24)),1,0)))</f>
        <v/>
      </c>
      <c r="AH246" s="26" t="str">
        <f aca="false">IF($A246="","",IF(INDEX(Muster!$C$9:$BF$9,1,MOD($A246-Einstellungen!$C$6,Einstellungen!$C$7)+1)="","-",INDEX(Muster!$C$9:$BF$9,1,MOD($A246-Einstellungen!$C$6,Einstellungen!$C$7)+1)))</f>
        <v>F</v>
      </c>
      <c r="AI246" s="27" t="n">
        <f aca="false">IF($A246="","",IFERROR(VLOOKUP(AH246,Schichten!$A$5:$G$24,6,FALSE()),0))</f>
        <v>8</v>
      </c>
      <c r="AJ246" s="27" t="n">
        <f aca="false">IF($A246="","",IFERROR(VLOOKUP(AH246,Schichten!$A$5:$G$24,7,FALSE()),0))</f>
        <v>0</v>
      </c>
      <c r="AK246" s="28" t="n">
        <f aca="false">IF($A246="","",IF(N(AI246)=0,"",$A246+VLOOKUP(AH246,Schichten!$A$5:$G$24,3,FALSE())))</f>
        <v>46629.25</v>
      </c>
      <c r="AL246" s="28" t="n">
        <f aca="false">IF(AK246="","",$A246+VLOOKUP(AH246,Schichten!$A$5:$G$24,4,FALSE())+IF(VLOOKUP(AH246,Schichten!$A$5:$G$24,4,FALSE())&lt;=VLOOKUP(AH246,Schichten!$A$5:$G$24,3,FALSE()),1,0))</f>
        <v>46629.5833333333</v>
      </c>
      <c r="AM246" s="28" t="n">
        <f aca="false">IF($A246="","",IF(N(AI245)&gt;0,AL245,AM245))</f>
        <v>46627.25</v>
      </c>
      <c r="AN246" s="27" t="n">
        <f aca="false">IF(OR(AK246="",AM246=""),"",(AK246-AM246)*24)</f>
        <v>48</v>
      </c>
      <c r="AO246" s="21" t="n">
        <f aca="false">IF($A246="","",IF(N(AI246)&gt;0,N(AO245)+1,0))</f>
        <v>1</v>
      </c>
      <c r="AP246" s="21" t="n">
        <f aca="false">IF($A246="","",IF(N(AJ246)&gt;0,N(AP245)+1,0))</f>
        <v>0</v>
      </c>
      <c r="AQ246" s="21" t="str">
        <f aca="false">IF($A246="","",IF(WEEKDAY($A246,2)&lt;&gt;7,"",IF(AND(OR(AK246="",N(AK246)&gt;=$A246+16/24,N(AL246)&lt;=$A246+6/24),OR(AM246="",N(AM246)&lt;=$A246+6/24)),1,0)))</f>
        <v/>
      </c>
      <c r="AR246" s="26" t="str">
        <f aca="false">IF($A246="","",IF(INDEX(Muster!$C$10:$BF$10,1,MOD($A246-Einstellungen!$C$6,Einstellungen!$C$7)+1)="","-",INDEX(Muster!$C$10:$BF$10,1,MOD($A246-Einstellungen!$C$6,Einstellungen!$C$7)+1)))</f>
        <v>-</v>
      </c>
      <c r="AS246" s="27" t="n">
        <f aca="false">IF($A246="","",IFERROR(VLOOKUP(AR246,Schichten!$A$5:$G$24,6,FALSE()),0))</f>
        <v>0</v>
      </c>
      <c r="AT246" s="27" t="n">
        <f aca="false">IF($A246="","",IFERROR(VLOOKUP(AR246,Schichten!$A$5:$G$24,7,FALSE()),0))</f>
        <v>0</v>
      </c>
      <c r="AU246" s="28" t="str">
        <f aca="false">IF($A246="","",IF(N(AS246)=0,"",$A246+VLOOKUP(AR246,Schichten!$A$5:$G$24,3,FALSE())))</f>
        <v/>
      </c>
      <c r="AV246" s="28" t="str">
        <f aca="false">IF(AU246="","",$A246+VLOOKUP(AR246,Schichten!$A$5:$G$24,4,FALSE())+IF(VLOOKUP(AR246,Schichten!$A$5:$G$24,4,FALSE())&lt;=VLOOKUP(AR246,Schichten!$A$5:$G$24,3,FALSE()),1,0))</f>
        <v/>
      </c>
      <c r="AW246" s="28" t="str">
        <f aca="false">IF($A246="","",IF(N(AS245)&gt;0,AV245,AW245))</f>
        <v/>
      </c>
      <c r="AX246" s="27" t="str">
        <f aca="false">IF(OR(AU246="",AW246=""),"",(AU246-AW246)*24)</f>
        <v/>
      </c>
      <c r="AY246" s="21" t="n">
        <f aca="false">IF($A246="","",IF(N(AS246)&gt;0,N(AY245)+1,0))</f>
        <v>0</v>
      </c>
      <c r="AZ246" s="21" t="n">
        <f aca="false">IF($A246="","",IF(N(AT246)&gt;0,N(AZ245)+1,0))</f>
        <v>0</v>
      </c>
      <c r="BA246" s="21" t="str">
        <f aca="false">IF($A246="","",IF(WEEKDAY($A246,2)&lt;&gt;7,"",IF(AND(OR(AU246="",N(AU246)&gt;=$A246+16/24,N(AV246)&lt;=$A246+6/24),OR(AW246="",N(AW246)&lt;=$A246+6/24)),1,0)))</f>
        <v/>
      </c>
    </row>
    <row r="247" customFormat="false" ht="15" hidden="false" customHeight="false" outlineLevel="0" collapsed="false">
      <c r="A247" s="25" t="n">
        <f aca="false">IF(YEAR(DATE(Einstellungen!$C$4,1,1)+242)=Einstellungen!$C$4,DATE(Einstellungen!$C$4,1,1)+242,"")</f>
        <v>46630</v>
      </c>
      <c r="B247" s="26" t="str">
        <f aca="false">IF($A247="","",CHOOSE(WEEKDAY($A247,2),"Mo","Di","Mi","Do","Fr","Sa","So"))</f>
        <v>Di</v>
      </c>
      <c r="C247" s="26" t="n">
        <f aca="false">IF($A247="","",MONTH($A247))</f>
        <v>8</v>
      </c>
      <c r="D247" s="26" t="str">
        <f aca="false">IF($A247="","",IF(INDEX(Muster!$C$6:$BF$6,1,MOD($A247-Einstellungen!$C$6,Einstellungen!$C$7)+1)="","-",INDEX(Muster!$C$6:$BF$6,1,MOD($A247-Einstellungen!$C$6,Einstellungen!$C$7)+1)))</f>
        <v>-</v>
      </c>
      <c r="E247" s="27" t="n">
        <f aca="false">IF($A247="","",IFERROR(VLOOKUP(D247,Schichten!$A$5:$G$24,6,FALSE()),0))</f>
        <v>0</v>
      </c>
      <c r="F247" s="27" t="n">
        <f aca="false">IF($A247="","",IFERROR(VLOOKUP(D247,Schichten!$A$5:$G$24,7,FALSE()),0))</f>
        <v>0</v>
      </c>
      <c r="G247" s="28" t="str">
        <f aca="false">IF($A247="","",IF(N(E247)=0,"",$A247+VLOOKUP(D247,Schichten!$A$5:$G$24,3,FALSE())))</f>
        <v/>
      </c>
      <c r="H247" s="28" t="str">
        <f aca="false">IF(G247="","",$A247+VLOOKUP(D247,Schichten!$A$5:$G$24,4,FALSE())+IF(VLOOKUP(D247,Schichten!$A$5:$G$24,4,FALSE())&lt;=VLOOKUP(D247,Schichten!$A$5:$G$24,3,FALSE()),1,0))</f>
        <v/>
      </c>
      <c r="I247" s="28" t="n">
        <f aca="false">IF($A247="","",IF(N(E246)&gt;0,H246,I246))</f>
        <v>46629.25</v>
      </c>
      <c r="J247" s="27" t="str">
        <f aca="false">IF(OR(G247="",I247=""),"",(G247-I247)*24)</f>
        <v/>
      </c>
      <c r="K247" s="21" t="n">
        <f aca="false">IF($A247="","",IF(N(E247)&gt;0,N(K246)+1,0))</f>
        <v>0</v>
      </c>
      <c r="L247" s="21" t="n">
        <f aca="false">IF($A247="","",IF(N(F247)&gt;0,N(L246)+1,0))</f>
        <v>0</v>
      </c>
      <c r="M247" s="21" t="str">
        <f aca="false">IF($A247="","",IF(WEEKDAY($A247,2)&lt;&gt;7,"",IF(AND(OR(G247="",N(G247)&gt;=$A247+16/24,N(H247)&lt;=$A247+6/24),OR(I247="",N(I247)&lt;=$A247+6/24)),1,0)))</f>
        <v/>
      </c>
      <c r="N247" s="26" t="str">
        <f aca="false">IF($A247="","",IF(INDEX(Muster!$C$7:$BF$7,1,MOD($A247-Einstellungen!$C$6,Einstellungen!$C$7)+1)="","-",INDEX(Muster!$C$7:$BF$7,1,MOD($A247-Einstellungen!$C$6,Einstellungen!$C$7)+1)))</f>
        <v>N</v>
      </c>
      <c r="O247" s="27" t="n">
        <f aca="false">IF($A247="","",IFERROR(VLOOKUP(N247,Schichten!$A$5:$G$24,6,FALSE()),0))</f>
        <v>8</v>
      </c>
      <c r="P247" s="27" t="n">
        <f aca="false">IF($A247="","",IFERROR(VLOOKUP(N247,Schichten!$A$5:$G$24,7,FALSE()),0))</f>
        <v>7</v>
      </c>
      <c r="Q247" s="28" t="n">
        <f aca="false">IF($A247="","",IF(N(O247)=0,"",$A247+VLOOKUP(N247,Schichten!$A$5:$G$24,3,FALSE())))</f>
        <v>46630.9166666667</v>
      </c>
      <c r="R247" s="28" t="n">
        <f aca="false">IF(Q247="","",$A247+VLOOKUP(N247,Schichten!$A$5:$G$24,4,FALSE())+IF(VLOOKUP(N247,Schichten!$A$5:$G$24,4,FALSE())&lt;=VLOOKUP(N247,Schichten!$A$5:$G$24,3,FALSE()),1,0))</f>
        <v>46631.25</v>
      </c>
      <c r="S247" s="28" t="n">
        <f aca="false">IF($A247="","",IF(N(O246)&gt;0,R246,S246))</f>
        <v>46630.25</v>
      </c>
      <c r="T247" s="27" t="n">
        <f aca="false">IF(OR(Q247="",S247=""),"",(Q247-S247)*24)</f>
        <v>16</v>
      </c>
      <c r="U247" s="21" t="n">
        <f aca="false">IF($A247="","",IF(N(O247)&gt;0,N(U246)+1,0))</f>
        <v>6</v>
      </c>
      <c r="V247" s="21" t="n">
        <f aca="false">IF($A247="","",IF(N(P247)&gt;0,N(V246)+1,0))</f>
        <v>2</v>
      </c>
      <c r="W247" s="21" t="str">
        <f aca="false">IF($A247="","",IF(WEEKDAY($A247,2)&lt;&gt;7,"",IF(AND(OR(Q247="",N(Q247)&gt;=$A247+16/24,N(R247)&lt;=$A247+6/24),OR(S247="",N(S247)&lt;=$A247+6/24)),1,0)))</f>
        <v/>
      </c>
      <c r="X247" s="26" t="str">
        <f aca="false">IF($A247="","",IF(INDEX(Muster!$C$8:$BF$8,1,MOD($A247-Einstellungen!$C$6,Einstellungen!$C$7)+1)="","-",INDEX(Muster!$C$8:$BF$8,1,MOD($A247-Einstellungen!$C$6,Einstellungen!$C$7)+1)))</f>
        <v>S</v>
      </c>
      <c r="Y247" s="27" t="n">
        <f aca="false">IF($A247="","",IFERROR(VLOOKUP(X247,Schichten!$A$5:$G$24,6,FALSE()),0))</f>
        <v>8</v>
      </c>
      <c r="Z247" s="27" t="n">
        <f aca="false">IF($A247="","",IFERROR(VLOOKUP(X247,Schichten!$A$5:$G$24,7,FALSE()),0))</f>
        <v>0</v>
      </c>
      <c r="AA247" s="28" t="n">
        <f aca="false">IF($A247="","",IF(N(Y247)=0,"",$A247+VLOOKUP(X247,Schichten!$A$5:$G$24,3,FALSE())))</f>
        <v>46630.5833333333</v>
      </c>
      <c r="AB247" s="28" t="n">
        <f aca="false">IF(AA247="","",$A247+VLOOKUP(X247,Schichten!$A$5:$G$24,4,FALSE())+IF(VLOOKUP(X247,Schichten!$A$5:$G$24,4,FALSE())&lt;=VLOOKUP(X247,Schichten!$A$5:$G$24,3,FALSE()),1,0))</f>
        <v>46630.9166666667</v>
      </c>
      <c r="AC247" s="28" t="n">
        <f aca="false">IF($A247="","",IF(N(Y246)&gt;0,AB246,AC246))</f>
        <v>46629.9166666667</v>
      </c>
      <c r="AD247" s="27" t="n">
        <f aca="false">IF(OR(AA247="",AC247=""),"",(AA247-AC247)*24)</f>
        <v>16</v>
      </c>
      <c r="AE247" s="21" t="n">
        <f aca="false">IF($A247="","",IF(N(Y247)&gt;0,N(AE246)+1,0))</f>
        <v>4</v>
      </c>
      <c r="AF247" s="21" t="n">
        <f aca="false">IF($A247="","",IF(N(Z247)&gt;0,N(AF246)+1,0))</f>
        <v>0</v>
      </c>
      <c r="AG247" s="21" t="str">
        <f aca="false">IF($A247="","",IF(WEEKDAY($A247,2)&lt;&gt;7,"",IF(AND(OR(AA247="",N(AA247)&gt;=$A247+16/24,N(AB247)&lt;=$A247+6/24),OR(AC247="",N(AC247)&lt;=$A247+6/24)),1,0)))</f>
        <v/>
      </c>
      <c r="AH247" s="26" t="str">
        <f aca="false">IF($A247="","",IF(INDEX(Muster!$C$9:$BF$9,1,MOD($A247-Einstellungen!$C$6,Einstellungen!$C$7)+1)="","-",INDEX(Muster!$C$9:$BF$9,1,MOD($A247-Einstellungen!$C$6,Einstellungen!$C$7)+1)))</f>
        <v>F</v>
      </c>
      <c r="AI247" s="27" t="n">
        <f aca="false">IF($A247="","",IFERROR(VLOOKUP(AH247,Schichten!$A$5:$G$24,6,FALSE()),0))</f>
        <v>8</v>
      </c>
      <c r="AJ247" s="27" t="n">
        <f aca="false">IF($A247="","",IFERROR(VLOOKUP(AH247,Schichten!$A$5:$G$24,7,FALSE()),0))</f>
        <v>0</v>
      </c>
      <c r="AK247" s="28" t="n">
        <f aca="false">IF($A247="","",IF(N(AI247)=0,"",$A247+VLOOKUP(AH247,Schichten!$A$5:$G$24,3,FALSE())))</f>
        <v>46630.25</v>
      </c>
      <c r="AL247" s="28" t="n">
        <f aca="false">IF(AK247="","",$A247+VLOOKUP(AH247,Schichten!$A$5:$G$24,4,FALSE())+IF(VLOOKUP(AH247,Schichten!$A$5:$G$24,4,FALSE())&lt;=VLOOKUP(AH247,Schichten!$A$5:$G$24,3,FALSE()),1,0))</f>
        <v>46630.5833333333</v>
      </c>
      <c r="AM247" s="28" t="n">
        <f aca="false">IF($A247="","",IF(N(AI246)&gt;0,AL246,AM246))</f>
        <v>46629.5833333333</v>
      </c>
      <c r="AN247" s="27" t="n">
        <f aca="false">IF(OR(AK247="",AM247=""),"",(AK247-AM247)*24)</f>
        <v>16</v>
      </c>
      <c r="AO247" s="21" t="n">
        <f aca="false">IF($A247="","",IF(N(AI247)&gt;0,N(AO246)+1,0))</f>
        <v>2</v>
      </c>
      <c r="AP247" s="21" t="n">
        <f aca="false">IF($A247="","",IF(N(AJ247)&gt;0,N(AP246)+1,0))</f>
        <v>0</v>
      </c>
      <c r="AQ247" s="21" t="str">
        <f aca="false">IF($A247="","",IF(WEEKDAY($A247,2)&lt;&gt;7,"",IF(AND(OR(AK247="",N(AK247)&gt;=$A247+16/24,N(AL247)&lt;=$A247+6/24),OR(AM247="",N(AM247)&lt;=$A247+6/24)),1,0)))</f>
        <v/>
      </c>
      <c r="AR247" s="26" t="str">
        <f aca="false">IF($A247="","",IF(INDEX(Muster!$C$10:$BF$10,1,MOD($A247-Einstellungen!$C$6,Einstellungen!$C$7)+1)="","-",INDEX(Muster!$C$10:$BF$10,1,MOD($A247-Einstellungen!$C$6,Einstellungen!$C$7)+1)))</f>
        <v>-</v>
      </c>
      <c r="AS247" s="27" t="n">
        <f aca="false">IF($A247="","",IFERROR(VLOOKUP(AR247,Schichten!$A$5:$G$24,6,FALSE()),0))</f>
        <v>0</v>
      </c>
      <c r="AT247" s="27" t="n">
        <f aca="false">IF($A247="","",IFERROR(VLOOKUP(AR247,Schichten!$A$5:$G$24,7,FALSE()),0))</f>
        <v>0</v>
      </c>
      <c r="AU247" s="28" t="str">
        <f aca="false">IF($A247="","",IF(N(AS247)=0,"",$A247+VLOOKUP(AR247,Schichten!$A$5:$G$24,3,FALSE())))</f>
        <v/>
      </c>
      <c r="AV247" s="28" t="str">
        <f aca="false">IF(AU247="","",$A247+VLOOKUP(AR247,Schichten!$A$5:$G$24,4,FALSE())+IF(VLOOKUP(AR247,Schichten!$A$5:$G$24,4,FALSE())&lt;=VLOOKUP(AR247,Schichten!$A$5:$G$24,3,FALSE()),1,0))</f>
        <v/>
      </c>
      <c r="AW247" s="28" t="str">
        <f aca="false">IF($A247="","",IF(N(AS246)&gt;0,AV246,AW246))</f>
        <v/>
      </c>
      <c r="AX247" s="27" t="str">
        <f aca="false">IF(OR(AU247="",AW247=""),"",(AU247-AW247)*24)</f>
        <v/>
      </c>
      <c r="AY247" s="21" t="n">
        <f aca="false">IF($A247="","",IF(N(AS247)&gt;0,N(AY246)+1,0))</f>
        <v>0</v>
      </c>
      <c r="AZ247" s="21" t="n">
        <f aca="false">IF($A247="","",IF(N(AT247)&gt;0,N(AZ246)+1,0))</f>
        <v>0</v>
      </c>
      <c r="BA247" s="21" t="str">
        <f aca="false">IF($A247="","",IF(WEEKDAY($A247,2)&lt;&gt;7,"",IF(AND(OR(AU247="",N(AU247)&gt;=$A247+16/24,N(AV247)&lt;=$A247+6/24),OR(AW247="",N(AW247)&lt;=$A247+6/24)),1,0)))</f>
        <v/>
      </c>
    </row>
    <row r="248" customFormat="false" ht="15" hidden="false" customHeight="false" outlineLevel="0" collapsed="false">
      <c r="A248" s="25" t="n">
        <f aca="false">IF(YEAR(DATE(Einstellungen!$C$4,1,1)+243)=Einstellungen!$C$4,DATE(Einstellungen!$C$4,1,1)+243,"")</f>
        <v>46631</v>
      </c>
      <c r="B248" s="26" t="str">
        <f aca="false">IF($A248="","",CHOOSE(WEEKDAY($A248,2),"Mo","Di","Mi","Do","Fr","Sa","So"))</f>
        <v>Mi</v>
      </c>
      <c r="C248" s="26" t="n">
        <f aca="false">IF($A248="","",MONTH($A248))</f>
        <v>9</v>
      </c>
      <c r="D248" s="26" t="str">
        <f aca="false">IF($A248="","",IF(INDEX(Muster!$C$6:$BF$6,1,MOD($A248-Einstellungen!$C$6,Einstellungen!$C$7)+1)="","-",INDEX(Muster!$C$6:$BF$6,1,MOD($A248-Einstellungen!$C$6,Einstellungen!$C$7)+1)))</f>
        <v>F</v>
      </c>
      <c r="E248" s="27" t="n">
        <f aca="false">IF($A248="","",IFERROR(VLOOKUP(D248,Schichten!$A$5:$G$24,6,FALSE()),0))</f>
        <v>8</v>
      </c>
      <c r="F248" s="27" t="n">
        <f aca="false">IF($A248="","",IFERROR(VLOOKUP(D248,Schichten!$A$5:$G$24,7,FALSE()),0))</f>
        <v>0</v>
      </c>
      <c r="G248" s="28" t="n">
        <f aca="false">IF($A248="","",IF(N(E248)=0,"",$A248+VLOOKUP(D248,Schichten!$A$5:$G$24,3,FALSE())))</f>
        <v>46631.25</v>
      </c>
      <c r="H248" s="28" t="n">
        <f aca="false">IF(G248="","",$A248+VLOOKUP(D248,Schichten!$A$5:$G$24,4,FALSE())+IF(VLOOKUP(D248,Schichten!$A$5:$G$24,4,FALSE())&lt;=VLOOKUP(D248,Schichten!$A$5:$G$24,3,FALSE()),1,0))</f>
        <v>46631.5833333333</v>
      </c>
      <c r="I248" s="28" t="n">
        <f aca="false">IF($A248="","",IF(N(E247)&gt;0,H247,I247))</f>
        <v>46629.25</v>
      </c>
      <c r="J248" s="27" t="n">
        <f aca="false">IF(OR(G248="",I248=""),"",(G248-I248)*24)</f>
        <v>48</v>
      </c>
      <c r="K248" s="21" t="n">
        <f aca="false">IF($A248="","",IF(N(E248)&gt;0,N(K247)+1,0))</f>
        <v>1</v>
      </c>
      <c r="L248" s="21" t="n">
        <f aca="false">IF($A248="","",IF(N(F248)&gt;0,N(L247)+1,0))</f>
        <v>0</v>
      </c>
      <c r="M248" s="21" t="str">
        <f aca="false">IF($A248="","",IF(WEEKDAY($A248,2)&lt;&gt;7,"",IF(AND(OR(G248="",N(G248)&gt;=$A248+16/24,N(H248)&lt;=$A248+6/24),OR(I248="",N(I248)&lt;=$A248+6/24)),1,0)))</f>
        <v/>
      </c>
      <c r="N248" s="26" t="str">
        <f aca="false">IF($A248="","",IF(INDEX(Muster!$C$7:$BF$7,1,MOD($A248-Einstellungen!$C$6,Einstellungen!$C$7)+1)="","-",INDEX(Muster!$C$7:$BF$7,1,MOD($A248-Einstellungen!$C$6,Einstellungen!$C$7)+1)))</f>
        <v>-</v>
      </c>
      <c r="O248" s="27" t="n">
        <f aca="false">IF($A248="","",IFERROR(VLOOKUP(N248,Schichten!$A$5:$G$24,6,FALSE()),0))</f>
        <v>0</v>
      </c>
      <c r="P248" s="27" t="n">
        <f aca="false">IF($A248="","",IFERROR(VLOOKUP(N248,Schichten!$A$5:$G$24,7,FALSE()),0))</f>
        <v>0</v>
      </c>
      <c r="Q248" s="28" t="str">
        <f aca="false">IF($A248="","",IF(N(O248)=0,"",$A248+VLOOKUP(N248,Schichten!$A$5:$G$24,3,FALSE())))</f>
        <v/>
      </c>
      <c r="R248" s="28" t="str">
        <f aca="false">IF(Q248="","",$A248+VLOOKUP(N248,Schichten!$A$5:$G$24,4,FALSE())+IF(VLOOKUP(N248,Schichten!$A$5:$G$24,4,FALSE())&lt;=VLOOKUP(N248,Schichten!$A$5:$G$24,3,FALSE()),1,0))</f>
        <v/>
      </c>
      <c r="S248" s="28" t="n">
        <f aca="false">IF($A248="","",IF(N(O247)&gt;0,R247,S247))</f>
        <v>46631.25</v>
      </c>
      <c r="T248" s="27" t="str">
        <f aca="false">IF(OR(Q248="",S248=""),"",(Q248-S248)*24)</f>
        <v/>
      </c>
      <c r="U248" s="21" t="n">
        <f aca="false">IF($A248="","",IF(N(O248)&gt;0,N(U247)+1,0))</f>
        <v>0</v>
      </c>
      <c r="V248" s="21" t="n">
        <f aca="false">IF($A248="","",IF(N(P248)&gt;0,N(V247)+1,0))</f>
        <v>0</v>
      </c>
      <c r="W248" s="21" t="str">
        <f aca="false">IF($A248="","",IF(WEEKDAY($A248,2)&lt;&gt;7,"",IF(AND(OR(Q248="",N(Q248)&gt;=$A248+16/24,N(R248)&lt;=$A248+6/24),OR(S248="",N(S248)&lt;=$A248+6/24)),1,0)))</f>
        <v/>
      </c>
      <c r="X248" s="26" t="str">
        <f aca="false">IF($A248="","",IF(INDEX(Muster!$C$8:$BF$8,1,MOD($A248-Einstellungen!$C$6,Einstellungen!$C$7)+1)="","-",INDEX(Muster!$C$8:$BF$8,1,MOD($A248-Einstellungen!$C$6,Einstellungen!$C$7)+1)))</f>
        <v>N</v>
      </c>
      <c r="Y248" s="27" t="n">
        <f aca="false">IF($A248="","",IFERROR(VLOOKUP(X248,Schichten!$A$5:$G$24,6,FALSE()),0))</f>
        <v>8</v>
      </c>
      <c r="Z248" s="27" t="n">
        <f aca="false">IF($A248="","",IFERROR(VLOOKUP(X248,Schichten!$A$5:$G$24,7,FALSE()),0))</f>
        <v>7</v>
      </c>
      <c r="AA248" s="28" t="n">
        <f aca="false">IF($A248="","",IF(N(Y248)=0,"",$A248+VLOOKUP(X248,Schichten!$A$5:$G$24,3,FALSE())))</f>
        <v>46631.9166666667</v>
      </c>
      <c r="AB248" s="28" t="n">
        <f aca="false">IF(AA248="","",$A248+VLOOKUP(X248,Schichten!$A$5:$G$24,4,FALSE())+IF(VLOOKUP(X248,Schichten!$A$5:$G$24,4,FALSE())&lt;=VLOOKUP(X248,Schichten!$A$5:$G$24,3,FALSE()),1,0))</f>
        <v>46632.25</v>
      </c>
      <c r="AC248" s="28" t="n">
        <f aca="false">IF($A248="","",IF(N(Y247)&gt;0,AB247,AC247))</f>
        <v>46630.9166666667</v>
      </c>
      <c r="AD248" s="27" t="n">
        <f aca="false">IF(OR(AA248="",AC248=""),"",(AA248-AC248)*24)</f>
        <v>24</v>
      </c>
      <c r="AE248" s="21" t="n">
        <f aca="false">IF($A248="","",IF(N(Y248)&gt;0,N(AE247)+1,0))</f>
        <v>5</v>
      </c>
      <c r="AF248" s="21" t="n">
        <f aca="false">IF($A248="","",IF(N(Z248)&gt;0,N(AF247)+1,0))</f>
        <v>1</v>
      </c>
      <c r="AG248" s="21" t="str">
        <f aca="false">IF($A248="","",IF(WEEKDAY($A248,2)&lt;&gt;7,"",IF(AND(OR(AA248="",N(AA248)&gt;=$A248+16/24,N(AB248)&lt;=$A248+6/24),OR(AC248="",N(AC248)&lt;=$A248+6/24)),1,0)))</f>
        <v/>
      </c>
      <c r="AH248" s="26" t="str">
        <f aca="false">IF($A248="","",IF(INDEX(Muster!$C$9:$BF$9,1,MOD($A248-Einstellungen!$C$6,Einstellungen!$C$7)+1)="","-",INDEX(Muster!$C$9:$BF$9,1,MOD($A248-Einstellungen!$C$6,Einstellungen!$C$7)+1)))</f>
        <v>S</v>
      </c>
      <c r="AI248" s="27" t="n">
        <f aca="false">IF($A248="","",IFERROR(VLOOKUP(AH248,Schichten!$A$5:$G$24,6,FALSE()),0))</f>
        <v>8</v>
      </c>
      <c r="AJ248" s="27" t="n">
        <f aca="false">IF($A248="","",IFERROR(VLOOKUP(AH248,Schichten!$A$5:$G$24,7,FALSE()),0))</f>
        <v>0</v>
      </c>
      <c r="AK248" s="28" t="n">
        <f aca="false">IF($A248="","",IF(N(AI248)=0,"",$A248+VLOOKUP(AH248,Schichten!$A$5:$G$24,3,FALSE())))</f>
        <v>46631.5833333333</v>
      </c>
      <c r="AL248" s="28" t="n">
        <f aca="false">IF(AK248="","",$A248+VLOOKUP(AH248,Schichten!$A$5:$G$24,4,FALSE())+IF(VLOOKUP(AH248,Schichten!$A$5:$G$24,4,FALSE())&lt;=VLOOKUP(AH248,Schichten!$A$5:$G$24,3,FALSE()),1,0))</f>
        <v>46631.9166666667</v>
      </c>
      <c r="AM248" s="28" t="n">
        <f aca="false">IF($A248="","",IF(N(AI247)&gt;0,AL247,AM247))</f>
        <v>46630.5833333333</v>
      </c>
      <c r="AN248" s="27" t="n">
        <f aca="false">IF(OR(AK248="",AM248=""),"",(AK248-AM248)*24)</f>
        <v>24</v>
      </c>
      <c r="AO248" s="21" t="n">
        <f aca="false">IF($A248="","",IF(N(AI248)&gt;0,N(AO247)+1,0))</f>
        <v>3</v>
      </c>
      <c r="AP248" s="21" t="n">
        <f aca="false">IF($A248="","",IF(N(AJ248)&gt;0,N(AP247)+1,0))</f>
        <v>0</v>
      </c>
      <c r="AQ248" s="21" t="str">
        <f aca="false">IF($A248="","",IF(WEEKDAY($A248,2)&lt;&gt;7,"",IF(AND(OR(AK248="",N(AK248)&gt;=$A248+16/24,N(AL248)&lt;=$A248+6/24),OR(AM248="",N(AM248)&lt;=$A248+6/24)),1,0)))</f>
        <v/>
      </c>
      <c r="AR248" s="26" t="str">
        <f aca="false">IF($A248="","",IF(INDEX(Muster!$C$10:$BF$10,1,MOD($A248-Einstellungen!$C$6,Einstellungen!$C$7)+1)="","-",INDEX(Muster!$C$10:$BF$10,1,MOD($A248-Einstellungen!$C$6,Einstellungen!$C$7)+1)))</f>
        <v>-</v>
      </c>
      <c r="AS248" s="27" t="n">
        <f aca="false">IF($A248="","",IFERROR(VLOOKUP(AR248,Schichten!$A$5:$G$24,6,FALSE()),0))</f>
        <v>0</v>
      </c>
      <c r="AT248" s="27" t="n">
        <f aca="false">IF($A248="","",IFERROR(VLOOKUP(AR248,Schichten!$A$5:$G$24,7,FALSE()),0))</f>
        <v>0</v>
      </c>
      <c r="AU248" s="28" t="str">
        <f aca="false">IF($A248="","",IF(N(AS248)=0,"",$A248+VLOOKUP(AR248,Schichten!$A$5:$G$24,3,FALSE())))</f>
        <v/>
      </c>
      <c r="AV248" s="28" t="str">
        <f aca="false">IF(AU248="","",$A248+VLOOKUP(AR248,Schichten!$A$5:$G$24,4,FALSE())+IF(VLOOKUP(AR248,Schichten!$A$5:$G$24,4,FALSE())&lt;=VLOOKUP(AR248,Schichten!$A$5:$G$24,3,FALSE()),1,0))</f>
        <v/>
      </c>
      <c r="AW248" s="28" t="str">
        <f aca="false">IF($A248="","",IF(N(AS247)&gt;0,AV247,AW247))</f>
        <v/>
      </c>
      <c r="AX248" s="27" t="str">
        <f aca="false">IF(OR(AU248="",AW248=""),"",(AU248-AW248)*24)</f>
        <v/>
      </c>
      <c r="AY248" s="21" t="n">
        <f aca="false">IF($A248="","",IF(N(AS248)&gt;0,N(AY247)+1,0))</f>
        <v>0</v>
      </c>
      <c r="AZ248" s="21" t="n">
        <f aca="false">IF($A248="","",IF(N(AT248)&gt;0,N(AZ247)+1,0))</f>
        <v>0</v>
      </c>
      <c r="BA248" s="21" t="str">
        <f aca="false">IF($A248="","",IF(WEEKDAY($A248,2)&lt;&gt;7,"",IF(AND(OR(AU248="",N(AU248)&gt;=$A248+16/24,N(AV248)&lt;=$A248+6/24),OR(AW248="",N(AW248)&lt;=$A248+6/24)),1,0)))</f>
        <v/>
      </c>
    </row>
    <row r="249" customFormat="false" ht="15" hidden="false" customHeight="false" outlineLevel="0" collapsed="false">
      <c r="A249" s="25" t="n">
        <f aca="false">IF(YEAR(DATE(Einstellungen!$C$4,1,1)+244)=Einstellungen!$C$4,DATE(Einstellungen!$C$4,1,1)+244,"")</f>
        <v>46632</v>
      </c>
      <c r="B249" s="26" t="str">
        <f aca="false">IF($A249="","",CHOOSE(WEEKDAY($A249,2),"Mo","Di","Mi","Do","Fr","Sa","So"))</f>
        <v>Do</v>
      </c>
      <c r="C249" s="26" t="n">
        <f aca="false">IF($A249="","",MONTH($A249))</f>
        <v>9</v>
      </c>
      <c r="D249" s="26" t="str">
        <f aca="false">IF($A249="","",IF(INDEX(Muster!$C$6:$BF$6,1,MOD($A249-Einstellungen!$C$6,Einstellungen!$C$7)+1)="","-",INDEX(Muster!$C$6:$BF$6,1,MOD($A249-Einstellungen!$C$6,Einstellungen!$C$7)+1)))</f>
        <v>F</v>
      </c>
      <c r="E249" s="27" t="n">
        <f aca="false">IF($A249="","",IFERROR(VLOOKUP(D249,Schichten!$A$5:$G$24,6,FALSE()),0))</f>
        <v>8</v>
      </c>
      <c r="F249" s="27" t="n">
        <f aca="false">IF($A249="","",IFERROR(VLOOKUP(D249,Schichten!$A$5:$G$24,7,FALSE()),0))</f>
        <v>0</v>
      </c>
      <c r="G249" s="28" t="n">
        <f aca="false">IF($A249="","",IF(N(E249)=0,"",$A249+VLOOKUP(D249,Schichten!$A$5:$G$24,3,FALSE())))</f>
        <v>46632.25</v>
      </c>
      <c r="H249" s="28" t="n">
        <f aca="false">IF(G249="","",$A249+VLOOKUP(D249,Schichten!$A$5:$G$24,4,FALSE())+IF(VLOOKUP(D249,Schichten!$A$5:$G$24,4,FALSE())&lt;=VLOOKUP(D249,Schichten!$A$5:$G$24,3,FALSE()),1,0))</f>
        <v>46632.5833333333</v>
      </c>
      <c r="I249" s="28" t="n">
        <f aca="false">IF($A249="","",IF(N(E248)&gt;0,H248,I248))</f>
        <v>46631.5833333333</v>
      </c>
      <c r="J249" s="27" t="n">
        <f aca="false">IF(OR(G249="",I249=""),"",(G249-I249)*24)</f>
        <v>16</v>
      </c>
      <c r="K249" s="21" t="n">
        <f aca="false">IF($A249="","",IF(N(E249)&gt;0,N(K248)+1,0))</f>
        <v>2</v>
      </c>
      <c r="L249" s="21" t="n">
        <f aca="false">IF($A249="","",IF(N(F249)&gt;0,N(L248)+1,0))</f>
        <v>0</v>
      </c>
      <c r="M249" s="21" t="str">
        <f aca="false">IF($A249="","",IF(WEEKDAY($A249,2)&lt;&gt;7,"",IF(AND(OR(G249="",N(G249)&gt;=$A249+16/24,N(H249)&lt;=$A249+6/24),OR(I249="",N(I249)&lt;=$A249+6/24)),1,0)))</f>
        <v/>
      </c>
      <c r="N249" s="26" t="str">
        <f aca="false">IF($A249="","",IF(INDEX(Muster!$C$7:$BF$7,1,MOD($A249-Einstellungen!$C$6,Einstellungen!$C$7)+1)="","-",INDEX(Muster!$C$7:$BF$7,1,MOD($A249-Einstellungen!$C$6,Einstellungen!$C$7)+1)))</f>
        <v>-</v>
      </c>
      <c r="O249" s="27" t="n">
        <f aca="false">IF($A249="","",IFERROR(VLOOKUP(N249,Schichten!$A$5:$G$24,6,FALSE()),0))</f>
        <v>0</v>
      </c>
      <c r="P249" s="27" t="n">
        <f aca="false">IF($A249="","",IFERROR(VLOOKUP(N249,Schichten!$A$5:$G$24,7,FALSE()),0))</f>
        <v>0</v>
      </c>
      <c r="Q249" s="28" t="str">
        <f aca="false">IF($A249="","",IF(N(O249)=0,"",$A249+VLOOKUP(N249,Schichten!$A$5:$G$24,3,FALSE())))</f>
        <v/>
      </c>
      <c r="R249" s="28" t="str">
        <f aca="false">IF(Q249="","",$A249+VLOOKUP(N249,Schichten!$A$5:$G$24,4,FALSE())+IF(VLOOKUP(N249,Schichten!$A$5:$G$24,4,FALSE())&lt;=VLOOKUP(N249,Schichten!$A$5:$G$24,3,FALSE()),1,0))</f>
        <v/>
      </c>
      <c r="S249" s="28" t="n">
        <f aca="false">IF($A249="","",IF(N(O248)&gt;0,R248,S248))</f>
        <v>46631.25</v>
      </c>
      <c r="T249" s="27" t="str">
        <f aca="false">IF(OR(Q249="",S249=""),"",(Q249-S249)*24)</f>
        <v/>
      </c>
      <c r="U249" s="21" t="n">
        <f aca="false">IF($A249="","",IF(N(O249)&gt;0,N(U248)+1,0))</f>
        <v>0</v>
      </c>
      <c r="V249" s="21" t="n">
        <f aca="false">IF($A249="","",IF(N(P249)&gt;0,N(V248)+1,0))</f>
        <v>0</v>
      </c>
      <c r="W249" s="21" t="str">
        <f aca="false">IF($A249="","",IF(WEEKDAY($A249,2)&lt;&gt;7,"",IF(AND(OR(Q249="",N(Q249)&gt;=$A249+16/24,N(R249)&lt;=$A249+6/24),OR(S249="",N(S249)&lt;=$A249+6/24)),1,0)))</f>
        <v/>
      </c>
      <c r="X249" s="26" t="str">
        <f aca="false">IF($A249="","",IF(INDEX(Muster!$C$8:$BF$8,1,MOD($A249-Einstellungen!$C$6,Einstellungen!$C$7)+1)="","-",INDEX(Muster!$C$8:$BF$8,1,MOD($A249-Einstellungen!$C$6,Einstellungen!$C$7)+1)))</f>
        <v>N</v>
      </c>
      <c r="Y249" s="27" t="n">
        <f aca="false">IF($A249="","",IFERROR(VLOOKUP(X249,Schichten!$A$5:$G$24,6,FALSE()),0))</f>
        <v>8</v>
      </c>
      <c r="Z249" s="27" t="n">
        <f aca="false">IF($A249="","",IFERROR(VLOOKUP(X249,Schichten!$A$5:$G$24,7,FALSE()),0))</f>
        <v>7</v>
      </c>
      <c r="AA249" s="28" t="n">
        <f aca="false">IF($A249="","",IF(N(Y249)=0,"",$A249+VLOOKUP(X249,Schichten!$A$5:$G$24,3,FALSE())))</f>
        <v>46632.9166666667</v>
      </c>
      <c r="AB249" s="28" t="n">
        <f aca="false">IF(AA249="","",$A249+VLOOKUP(X249,Schichten!$A$5:$G$24,4,FALSE())+IF(VLOOKUP(X249,Schichten!$A$5:$G$24,4,FALSE())&lt;=VLOOKUP(X249,Schichten!$A$5:$G$24,3,FALSE()),1,0))</f>
        <v>46633.25</v>
      </c>
      <c r="AC249" s="28" t="n">
        <f aca="false">IF($A249="","",IF(N(Y248)&gt;0,AB248,AC248))</f>
        <v>46632.25</v>
      </c>
      <c r="AD249" s="27" t="n">
        <f aca="false">IF(OR(AA249="",AC249=""),"",(AA249-AC249)*24)</f>
        <v>16</v>
      </c>
      <c r="AE249" s="21" t="n">
        <f aca="false">IF($A249="","",IF(N(Y249)&gt;0,N(AE248)+1,0))</f>
        <v>6</v>
      </c>
      <c r="AF249" s="21" t="n">
        <f aca="false">IF($A249="","",IF(N(Z249)&gt;0,N(AF248)+1,0))</f>
        <v>2</v>
      </c>
      <c r="AG249" s="21" t="str">
        <f aca="false">IF($A249="","",IF(WEEKDAY($A249,2)&lt;&gt;7,"",IF(AND(OR(AA249="",N(AA249)&gt;=$A249+16/24,N(AB249)&lt;=$A249+6/24),OR(AC249="",N(AC249)&lt;=$A249+6/24)),1,0)))</f>
        <v/>
      </c>
      <c r="AH249" s="26" t="str">
        <f aca="false">IF($A249="","",IF(INDEX(Muster!$C$9:$BF$9,1,MOD($A249-Einstellungen!$C$6,Einstellungen!$C$7)+1)="","-",INDEX(Muster!$C$9:$BF$9,1,MOD($A249-Einstellungen!$C$6,Einstellungen!$C$7)+1)))</f>
        <v>S</v>
      </c>
      <c r="AI249" s="27" t="n">
        <f aca="false">IF($A249="","",IFERROR(VLOOKUP(AH249,Schichten!$A$5:$G$24,6,FALSE()),0))</f>
        <v>8</v>
      </c>
      <c r="AJ249" s="27" t="n">
        <f aca="false">IF($A249="","",IFERROR(VLOOKUP(AH249,Schichten!$A$5:$G$24,7,FALSE()),0))</f>
        <v>0</v>
      </c>
      <c r="AK249" s="28" t="n">
        <f aca="false">IF($A249="","",IF(N(AI249)=0,"",$A249+VLOOKUP(AH249,Schichten!$A$5:$G$24,3,FALSE())))</f>
        <v>46632.5833333333</v>
      </c>
      <c r="AL249" s="28" t="n">
        <f aca="false">IF(AK249="","",$A249+VLOOKUP(AH249,Schichten!$A$5:$G$24,4,FALSE())+IF(VLOOKUP(AH249,Schichten!$A$5:$G$24,4,FALSE())&lt;=VLOOKUP(AH249,Schichten!$A$5:$G$24,3,FALSE()),1,0))</f>
        <v>46632.9166666667</v>
      </c>
      <c r="AM249" s="28" t="n">
        <f aca="false">IF($A249="","",IF(N(AI248)&gt;0,AL248,AM248))</f>
        <v>46631.9166666667</v>
      </c>
      <c r="AN249" s="27" t="n">
        <f aca="false">IF(OR(AK249="",AM249=""),"",(AK249-AM249)*24)</f>
        <v>16</v>
      </c>
      <c r="AO249" s="21" t="n">
        <f aca="false">IF($A249="","",IF(N(AI249)&gt;0,N(AO248)+1,0))</f>
        <v>4</v>
      </c>
      <c r="AP249" s="21" t="n">
        <f aca="false">IF($A249="","",IF(N(AJ249)&gt;0,N(AP248)+1,0))</f>
        <v>0</v>
      </c>
      <c r="AQ249" s="21" t="str">
        <f aca="false">IF($A249="","",IF(WEEKDAY($A249,2)&lt;&gt;7,"",IF(AND(OR(AK249="",N(AK249)&gt;=$A249+16/24,N(AL249)&lt;=$A249+6/24),OR(AM249="",N(AM249)&lt;=$A249+6/24)),1,0)))</f>
        <v/>
      </c>
      <c r="AR249" s="26" t="str">
        <f aca="false">IF($A249="","",IF(INDEX(Muster!$C$10:$BF$10,1,MOD($A249-Einstellungen!$C$6,Einstellungen!$C$7)+1)="","-",INDEX(Muster!$C$10:$BF$10,1,MOD($A249-Einstellungen!$C$6,Einstellungen!$C$7)+1)))</f>
        <v>-</v>
      </c>
      <c r="AS249" s="27" t="n">
        <f aca="false">IF($A249="","",IFERROR(VLOOKUP(AR249,Schichten!$A$5:$G$24,6,FALSE()),0))</f>
        <v>0</v>
      </c>
      <c r="AT249" s="27" t="n">
        <f aca="false">IF($A249="","",IFERROR(VLOOKUP(AR249,Schichten!$A$5:$G$24,7,FALSE()),0))</f>
        <v>0</v>
      </c>
      <c r="AU249" s="28" t="str">
        <f aca="false">IF($A249="","",IF(N(AS249)=0,"",$A249+VLOOKUP(AR249,Schichten!$A$5:$G$24,3,FALSE())))</f>
        <v/>
      </c>
      <c r="AV249" s="28" t="str">
        <f aca="false">IF(AU249="","",$A249+VLOOKUP(AR249,Schichten!$A$5:$G$24,4,FALSE())+IF(VLOOKUP(AR249,Schichten!$A$5:$G$24,4,FALSE())&lt;=VLOOKUP(AR249,Schichten!$A$5:$G$24,3,FALSE()),1,0))</f>
        <v/>
      </c>
      <c r="AW249" s="28" t="str">
        <f aca="false">IF($A249="","",IF(N(AS248)&gt;0,AV248,AW248))</f>
        <v/>
      </c>
      <c r="AX249" s="27" t="str">
        <f aca="false">IF(OR(AU249="",AW249=""),"",(AU249-AW249)*24)</f>
        <v/>
      </c>
      <c r="AY249" s="21" t="n">
        <f aca="false">IF($A249="","",IF(N(AS249)&gt;0,N(AY248)+1,0))</f>
        <v>0</v>
      </c>
      <c r="AZ249" s="21" t="n">
        <f aca="false">IF($A249="","",IF(N(AT249)&gt;0,N(AZ248)+1,0))</f>
        <v>0</v>
      </c>
      <c r="BA249" s="21" t="str">
        <f aca="false">IF($A249="","",IF(WEEKDAY($A249,2)&lt;&gt;7,"",IF(AND(OR(AU249="",N(AU249)&gt;=$A249+16/24,N(AV249)&lt;=$A249+6/24),OR(AW249="",N(AW249)&lt;=$A249+6/24)),1,0)))</f>
        <v/>
      </c>
    </row>
    <row r="250" customFormat="false" ht="15" hidden="false" customHeight="false" outlineLevel="0" collapsed="false">
      <c r="A250" s="25" t="n">
        <f aca="false">IF(YEAR(DATE(Einstellungen!$C$4,1,1)+245)=Einstellungen!$C$4,DATE(Einstellungen!$C$4,1,1)+245,"")</f>
        <v>46633</v>
      </c>
      <c r="B250" s="26" t="str">
        <f aca="false">IF($A250="","",CHOOSE(WEEKDAY($A250,2),"Mo","Di","Mi","Do","Fr","Sa","So"))</f>
        <v>Fr</v>
      </c>
      <c r="C250" s="26" t="n">
        <f aca="false">IF($A250="","",MONTH($A250))</f>
        <v>9</v>
      </c>
      <c r="D250" s="26" t="str">
        <f aca="false">IF($A250="","",IF(INDEX(Muster!$C$6:$BF$6,1,MOD($A250-Einstellungen!$C$6,Einstellungen!$C$7)+1)="","-",INDEX(Muster!$C$6:$BF$6,1,MOD($A250-Einstellungen!$C$6,Einstellungen!$C$7)+1)))</f>
        <v>S</v>
      </c>
      <c r="E250" s="27" t="n">
        <f aca="false">IF($A250="","",IFERROR(VLOOKUP(D250,Schichten!$A$5:$G$24,6,FALSE()),0))</f>
        <v>8</v>
      </c>
      <c r="F250" s="27" t="n">
        <f aca="false">IF($A250="","",IFERROR(VLOOKUP(D250,Schichten!$A$5:$G$24,7,FALSE()),0))</f>
        <v>0</v>
      </c>
      <c r="G250" s="28" t="n">
        <f aca="false">IF($A250="","",IF(N(E250)=0,"",$A250+VLOOKUP(D250,Schichten!$A$5:$G$24,3,FALSE())))</f>
        <v>46633.5833333333</v>
      </c>
      <c r="H250" s="28" t="n">
        <f aca="false">IF(G250="","",$A250+VLOOKUP(D250,Schichten!$A$5:$G$24,4,FALSE())+IF(VLOOKUP(D250,Schichten!$A$5:$G$24,4,FALSE())&lt;=VLOOKUP(D250,Schichten!$A$5:$G$24,3,FALSE()),1,0))</f>
        <v>46633.9166666667</v>
      </c>
      <c r="I250" s="28" t="n">
        <f aca="false">IF($A250="","",IF(N(E249)&gt;0,H249,I249))</f>
        <v>46632.5833333333</v>
      </c>
      <c r="J250" s="27" t="n">
        <f aca="false">IF(OR(G250="",I250=""),"",(G250-I250)*24)</f>
        <v>24</v>
      </c>
      <c r="K250" s="21" t="n">
        <f aca="false">IF($A250="","",IF(N(E250)&gt;0,N(K249)+1,0))</f>
        <v>3</v>
      </c>
      <c r="L250" s="21" t="n">
        <f aca="false">IF($A250="","",IF(N(F250)&gt;0,N(L249)+1,0))</f>
        <v>0</v>
      </c>
      <c r="M250" s="21" t="str">
        <f aca="false">IF($A250="","",IF(WEEKDAY($A250,2)&lt;&gt;7,"",IF(AND(OR(G250="",N(G250)&gt;=$A250+16/24,N(H250)&lt;=$A250+6/24),OR(I250="",N(I250)&lt;=$A250+6/24)),1,0)))</f>
        <v/>
      </c>
      <c r="N250" s="26" t="str">
        <f aca="false">IF($A250="","",IF(INDEX(Muster!$C$7:$BF$7,1,MOD($A250-Einstellungen!$C$6,Einstellungen!$C$7)+1)="","-",INDEX(Muster!$C$7:$BF$7,1,MOD($A250-Einstellungen!$C$6,Einstellungen!$C$7)+1)))</f>
        <v>F</v>
      </c>
      <c r="O250" s="27" t="n">
        <f aca="false">IF($A250="","",IFERROR(VLOOKUP(N250,Schichten!$A$5:$G$24,6,FALSE()),0))</f>
        <v>8</v>
      </c>
      <c r="P250" s="27" t="n">
        <f aca="false">IF($A250="","",IFERROR(VLOOKUP(N250,Schichten!$A$5:$G$24,7,FALSE()),0))</f>
        <v>0</v>
      </c>
      <c r="Q250" s="28" t="n">
        <f aca="false">IF($A250="","",IF(N(O250)=0,"",$A250+VLOOKUP(N250,Schichten!$A$5:$G$24,3,FALSE())))</f>
        <v>46633.25</v>
      </c>
      <c r="R250" s="28" t="n">
        <f aca="false">IF(Q250="","",$A250+VLOOKUP(N250,Schichten!$A$5:$G$24,4,FALSE())+IF(VLOOKUP(N250,Schichten!$A$5:$G$24,4,FALSE())&lt;=VLOOKUP(N250,Schichten!$A$5:$G$24,3,FALSE()),1,0))</f>
        <v>46633.5833333333</v>
      </c>
      <c r="S250" s="28" t="n">
        <f aca="false">IF($A250="","",IF(N(O249)&gt;0,R249,S249))</f>
        <v>46631.25</v>
      </c>
      <c r="T250" s="27" t="n">
        <f aca="false">IF(OR(Q250="",S250=""),"",(Q250-S250)*24)</f>
        <v>48</v>
      </c>
      <c r="U250" s="21" t="n">
        <f aca="false">IF($A250="","",IF(N(O250)&gt;0,N(U249)+1,0))</f>
        <v>1</v>
      </c>
      <c r="V250" s="21" t="n">
        <f aca="false">IF($A250="","",IF(N(P250)&gt;0,N(V249)+1,0))</f>
        <v>0</v>
      </c>
      <c r="W250" s="21" t="str">
        <f aca="false">IF($A250="","",IF(WEEKDAY($A250,2)&lt;&gt;7,"",IF(AND(OR(Q250="",N(Q250)&gt;=$A250+16/24,N(R250)&lt;=$A250+6/24),OR(S250="",N(S250)&lt;=$A250+6/24)),1,0)))</f>
        <v/>
      </c>
      <c r="X250" s="26" t="str">
        <f aca="false">IF($A250="","",IF(INDEX(Muster!$C$8:$BF$8,1,MOD($A250-Einstellungen!$C$6,Einstellungen!$C$7)+1)="","-",INDEX(Muster!$C$8:$BF$8,1,MOD($A250-Einstellungen!$C$6,Einstellungen!$C$7)+1)))</f>
        <v>-</v>
      </c>
      <c r="Y250" s="27" t="n">
        <f aca="false">IF($A250="","",IFERROR(VLOOKUP(X250,Schichten!$A$5:$G$24,6,FALSE()),0))</f>
        <v>0</v>
      </c>
      <c r="Z250" s="27" t="n">
        <f aca="false">IF($A250="","",IFERROR(VLOOKUP(X250,Schichten!$A$5:$G$24,7,FALSE()),0))</f>
        <v>0</v>
      </c>
      <c r="AA250" s="28" t="str">
        <f aca="false">IF($A250="","",IF(N(Y250)=0,"",$A250+VLOOKUP(X250,Schichten!$A$5:$G$24,3,FALSE())))</f>
        <v/>
      </c>
      <c r="AB250" s="28" t="str">
        <f aca="false">IF(AA250="","",$A250+VLOOKUP(X250,Schichten!$A$5:$G$24,4,FALSE())+IF(VLOOKUP(X250,Schichten!$A$5:$G$24,4,FALSE())&lt;=VLOOKUP(X250,Schichten!$A$5:$G$24,3,FALSE()),1,0))</f>
        <v/>
      </c>
      <c r="AC250" s="28" t="n">
        <f aca="false">IF($A250="","",IF(N(Y249)&gt;0,AB249,AC249))</f>
        <v>46633.25</v>
      </c>
      <c r="AD250" s="27" t="str">
        <f aca="false">IF(OR(AA250="",AC250=""),"",(AA250-AC250)*24)</f>
        <v/>
      </c>
      <c r="AE250" s="21" t="n">
        <f aca="false">IF($A250="","",IF(N(Y250)&gt;0,N(AE249)+1,0))</f>
        <v>0</v>
      </c>
      <c r="AF250" s="21" t="n">
        <f aca="false">IF($A250="","",IF(N(Z250)&gt;0,N(AF249)+1,0))</f>
        <v>0</v>
      </c>
      <c r="AG250" s="21" t="str">
        <f aca="false">IF($A250="","",IF(WEEKDAY($A250,2)&lt;&gt;7,"",IF(AND(OR(AA250="",N(AA250)&gt;=$A250+16/24,N(AB250)&lt;=$A250+6/24),OR(AC250="",N(AC250)&lt;=$A250+6/24)),1,0)))</f>
        <v/>
      </c>
      <c r="AH250" s="26" t="str">
        <f aca="false">IF($A250="","",IF(INDEX(Muster!$C$9:$BF$9,1,MOD($A250-Einstellungen!$C$6,Einstellungen!$C$7)+1)="","-",INDEX(Muster!$C$9:$BF$9,1,MOD($A250-Einstellungen!$C$6,Einstellungen!$C$7)+1)))</f>
        <v>N</v>
      </c>
      <c r="AI250" s="27" t="n">
        <f aca="false">IF($A250="","",IFERROR(VLOOKUP(AH250,Schichten!$A$5:$G$24,6,FALSE()),0))</f>
        <v>8</v>
      </c>
      <c r="AJ250" s="27" t="n">
        <f aca="false">IF($A250="","",IFERROR(VLOOKUP(AH250,Schichten!$A$5:$G$24,7,FALSE()),0))</f>
        <v>7</v>
      </c>
      <c r="AK250" s="28" t="n">
        <f aca="false">IF($A250="","",IF(N(AI250)=0,"",$A250+VLOOKUP(AH250,Schichten!$A$5:$G$24,3,FALSE())))</f>
        <v>46633.9166666667</v>
      </c>
      <c r="AL250" s="28" t="n">
        <f aca="false">IF(AK250="","",$A250+VLOOKUP(AH250,Schichten!$A$5:$G$24,4,FALSE())+IF(VLOOKUP(AH250,Schichten!$A$5:$G$24,4,FALSE())&lt;=VLOOKUP(AH250,Schichten!$A$5:$G$24,3,FALSE()),1,0))</f>
        <v>46634.25</v>
      </c>
      <c r="AM250" s="28" t="n">
        <f aca="false">IF($A250="","",IF(N(AI249)&gt;0,AL249,AM249))</f>
        <v>46632.9166666667</v>
      </c>
      <c r="AN250" s="27" t="n">
        <f aca="false">IF(OR(AK250="",AM250=""),"",(AK250-AM250)*24)</f>
        <v>24</v>
      </c>
      <c r="AO250" s="21" t="n">
        <f aca="false">IF($A250="","",IF(N(AI250)&gt;0,N(AO249)+1,0))</f>
        <v>5</v>
      </c>
      <c r="AP250" s="21" t="n">
        <f aca="false">IF($A250="","",IF(N(AJ250)&gt;0,N(AP249)+1,0))</f>
        <v>1</v>
      </c>
      <c r="AQ250" s="21" t="str">
        <f aca="false">IF($A250="","",IF(WEEKDAY($A250,2)&lt;&gt;7,"",IF(AND(OR(AK250="",N(AK250)&gt;=$A250+16/24,N(AL250)&lt;=$A250+6/24),OR(AM250="",N(AM250)&lt;=$A250+6/24)),1,0)))</f>
        <v/>
      </c>
      <c r="AR250" s="26" t="str">
        <f aca="false">IF($A250="","",IF(INDEX(Muster!$C$10:$BF$10,1,MOD($A250-Einstellungen!$C$6,Einstellungen!$C$7)+1)="","-",INDEX(Muster!$C$10:$BF$10,1,MOD($A250-Einstellungen!$C$6,Einstellungen!$C$7)+1)))</f>
        <v>-</v>
      </c>
      <c r="AS250" s="27" t="n">
        <f aca="false">IF($A250="","",IFERROR(VLOOKUP(AR250,Schichten!$A$5:$G$24,6,FALSE()),0))</f>
        <v>0</v>
      </c>
      <c r="AT250" s="27" t="n">
        <f aca="false">IF($A250="","",IFERROR(VLOOKUP(AR250,Schichten!$A$5:$G$24,7,FALSE()),0))</f>
        <v>0</v>
      </c>
      <c r="AU250" s="28" t="str">
        <f aca="false">IF($A250="","",IF(N(AS250)=0,"",$A250+VLOOKUP(AR250,Schichten!$A$5:$G$24,3,FALSE())))</f>
        <v/>
      </c>
      <c r="AV250" s="28" t="str">
        <f aca="false">IF(AU250="","",$A250+VLOOKUP(AR250,Schichten!$A$5:$G$24,4,FALSE())+IF(VLOOKUP(AR250,Schichten!$A$5:$G$24,4,FALSE())&lt;=VLOOKUP(AR250,Schichten!$A$5:$G$24,3,FALSE()),1,0))</f>
        <v/>
      </c>
      <c r="AW250" s="28" t="str">
        <f aca="false">IF($A250="","",IF(N(AS249)&gt;0,AV249,AW249))</f>
        <v/>
      </c>
      <c r="AX250" s="27" t="str">
        <f aca="false">IF(OR(AU250="",AW250=""),"",(AU250-AW250)*24)</f>
        <v/>
      </c>
      <c r="AY250" s="21" t="n">
        <f aca="false">IF($A250="","",IF(N(AS250)&gt;0,N(AY249)+1,0))</f>
        <v>0</v>
      </c>
      <c r="AZ250" s="21" t="n">
        <f aca="false">IF($A250="","",IF(N(AT250)&gt;0,N(AZ249)+1,0))</f>
        <v>0</v>
      </c>
      <c r="BA250" s="21" t="str">
        <f aca="false">IF($A250="","",IF(WEEKDAY($A250,2)&lt;&gt;7,"",IF(AND(OR(AU250="",N(AU250)&gt;=$A250+16/24,N(AV250)&lt;=$A250+6/24),OR(AW250="",N(AW250)&lt;=$A250+6/24)),1,0)))</f>
        <v/>
      </c>
    </row>
    <row r="251" customFormat="false" ht="15" hidden="false" customHeight="false" outlineLevel="0" collapsed="false">
      <c r="A251" s="25" t="n">
        <f aca="false">IF(YEAR(DATE(Einstellungen!$C$4,1,1)+246)=Einstellungen!$C$4,DATE(Einstellungen!$C$4,1,1)+246,"")</f>
        <v>46634</v>
      </c>
      <c r="B251" s="26" t="str">
        <f aca="false">IF($A251="","",CHOOSE(WEEKDAY($A251,2),"Mo","Di","Mi","Do","Fr","Sa","So"))</f>
        <v>Sa</v>
      </c>
      <c r="C251" s="26" t="n">
        <f aca="false">IF($A251="","",MONTH($A251))</f>
        <v>9</v>
      </c>
      <c r="D251" s="26" t="str">
        <f aca="false">IF($A251="","",IF(INDEX(Muster!$C$6:$BF$6,1,MOD($A251-Einstellungen!$C$6,Einstellungen!$C$7)+1)="","-",INDEX(Muster!$C$6:$BF$6,1,MOD($A251-Einstellungen!$C$6,Einstellungen!$C$7)+1)))</f>
        <v>S</v>
      </c>
      <c r="E251" s="27" t="n">
        <f aca="false">IF($A251="","",IFERROR(VLOOKUP(D251,Schichten!$A$5:$G$24,6,FALSE()),0))</f>
        <v>8</v>
      </c>
      <c r="F251" s="27" t="n">
        <f aca="false">IF($A251="","",IFERROR(VLOOKUP(D251,Schichten!$A$5:$G$24,7,FALSE()),0))</f>
        <v>0</v>
      </c>
      <c r="G251" s="28" t="n">
        <f aca="false">IF($A251="","",IF(N(E251)=0,"",$A251+VLOOKUP(D251,Schichten!$A$5:$G$24,3,FALSE())))</f>
        <v>46634.5833333333</v>
      </c>
      <c r="H251" s="28" t="n">
        <f aca="false">IF(G251="","",$A251+VLOOKUP(D251,Schichten!$A$5:$G$24,4,FALSE())+IF(VLOOKUP(D251,Schichten!$A$5:$G$24,4,FALSE())&lt;=VLOOKUP(D251,Schichten!$A$5:$G$24,3,FALSE()),1,0))</f>
        <v>46634.9166666667</v>
      </c>
      <c r="I251" s="28" t="n">
        <f aca="false">IF($A251="","",IF(N(E250)&gt;0,H250,I250))</f>
        <v>46633.9166666667</v>
      </c>
      <c r="J251" s="27" t="n">
        <f aca="false">IF(OR(G251="",I251=""),"",(G251-I251)*24)</f>
        <v>16</v>
      </c>
      <c r="K251" s="21" t="n">
        <f aca="false">IF($A251="","",IF(N(E251)&gt;0,N(K250)+1,0))</f>
        <v>4</v>
      </c>
      <c r="L251" s="21" t="n">
        <f aca="false">IF($A251="","",IF(N(F251)&gt;0,N(L250)+1,0))</f>
        <v>0</v>
      </c>
      <c r="M251" s="21" t="str">
        <f aca="false">IF($A251="","",IF(WEEKDAY($A251,2)&lt;&gt;7,"",IF(AND(OR(G251="",N(G251)&gt;=$A251+16/24,N(H251)&lt;=$A251+6/24),OR(I251="",N(I251)&lt;=$A251+6/24)),1,0)))</f>
        <v/>
      </c>
      <c r="N251" s="26" t="str">
        <f aca="false">IF($A251="","",IF(INDEX(Muster!$C$7:$BF$7,1,MOD($A251-Einstellungen!$C$6,Einstellungen!$C$7)+1)="","-",INDEX(Muster!$C$7:$BF$7,1,MOD($A251-Einstellungen!$C$6,Einstellungen!$C$7)+1)))</f>
        <v>F</v>
      </c>
      <c r="O251" s="27" t="n">
        <f aca="false">IF($A251="","",IFERROR(VLOOKUP(N251,Schichten!$A$5:$G$24,6,FALSE()),0))</f>
        <v>8</v>
      </c>
      <c r="P251" s="27" t="n">
        <f aca="false">IF($A251="","",IFERROR(VLOOKUP(N251,Schichten!$A$5:$G$24,7,FALSE()),0))</f>
        <v>0</v>
      </c>
      <c r="Q251" s="28" t="n">
        <f aca="false">IF($A251="","",IF(N(O251)=0,"",$A251+VLOOKUP(N251,Schichten!$A$5:$G$24,3,FALSE())))</f>
        <v>46634.25</v>
      </c>
      <c r="R251" s="28" t="n">
        <f aca="false">IF(Q251="","",$A251+VLOOKUP(N251,Schichten!$A$5:$G$24,4,FALSE())+IF(VLOOKUP(N251,Schichten!$A$5:$G$24,4,FALSE())&lt;=VLOOKUP(N251,Schichten!$A$5:$G$24,3,FALSE()),1,0))</f>
        <v>46634.5833333333</v>
      </c>
      <c r="S251" s="28" t="n">
        <f aca="false">IF($A251="","",IF(N(O250)&gt;0,R250,S250))</f>
        <v>46633.5833333333</v>
      </c>
      <c r="T251" s="27" t="n">
        <f aca="false">IF(OR(Q251="",S251=""),"",(Q251-S251)*24)</f>
        <v>16</v>
      </c>
      <c r="U251" s="21" t="n">
        <f aca="false">IF($A251="","",IF(N(O251)&gt;0,N(U250)+1,0))</f>
        <v>2</v>
      </c>
      <c r="V251" s="21" t="n">
        <f aca="false">IF($A251="","",IF(N(P251)&gt;0,N(V250)+1,0))</f>
        <v>0</v>
      </c>
      <c r="W251" s="21" t="str">
        <f aca="false">IF($A251="","",IF(WEEKDAY($A251,2)&lt;&gt;7,"",IF(AND(OR(Q251="",N(Q251)&gt;=$A251+16/24,N(R251)&lt;=$A251+6/24),OR(S251="",N(S251)&lt;=$A251+6/24)),1,0)))</f>
        <v/>
      </c>
      <c r="X251" s="26" t="str">
        <f aca="false">IF($A251="","",IF(INDEX(Muster!$C$8:$BF$8,1,MOD($A251-Einstellungen!$C$6,Einstellungen!$C$7)+1)="","-",INDEX(Muster!$C$8:$BF$8,1,MOD($A251-Einstellungen!$C$6,Einstellungen!$C$7)+1)))</f>
        <v>-</v>
      </c>
      <c r="Y251" s="27" t="n">
        <f aca="false">IF($A251="","",IFERROR(VLOOKUP(X251,Schichten!$A$5:$G$24,6,FALSE()),0))</f>
        <v>0</v>
      </c>
      <c r="Z251" s="27" t="n">
        <f aca="false">IF($A251="","",IFERROR(VLOOKUP(X251,Schichten!$A$5:$G$24,7,FALSE()),0))</f>
        <v>0</v>
      </c>
      <c r="AA251" s="28" t="str">
        <f aca="false">IF($A251="","",IF(N(Y251)=0,"",$A251+VLOOKUP(X251,Schichten!$A$5:$G$24,3,FALSE())))</f>
        <v/>
      </c>
      <c r="AB251" s="28" t="str">
        <f aca="false">IF(AA251="","",$A251+VLOOKUP(X251,Schichten!$A$5:$G$24,4,FALSE())+IF(VLOOKUP(X251,Schichten!$A$5:$G$24,4,FALSE())&lt;=VLOOKUP(X251,Schichten!$A$5:$G$24,3,FALSE()),1,0))</f>
        <v/>
      </c>
      <c r="AC251" s="28" t="n">
        <f aca="false">IF($A251="","",IF(N(Y250)&gt;0,AB250,AC250))</f>
        <v>46633.25</v>
      </c>
      <c r="AD251" s="27" t="str">
        <f aca="false">IF(OR(AA251="",AC251=""),"",(AA251-AC251)*24)</f>
        <v/>
      </c>
      <c r="AE251" s="21" t="n">
        <f aca="false">IF($A251="","",IF(N(Y251)&gt;0,N(AE250)+1,0))</f>
        <v>0</v>
      </c>
      <c r="AF251" s="21" t="n">
        <f aca="false">IF($A251="","",IF(N(Z251)&gt;0,N(AF250)+1,0))</f>
        <v>0</v>
      </c>
      <c r="AG251" s="21" t="str">
        <f aca="false">IF($A251="","",IF(WEEKDAY($A251,2)&lt;&gt;7,"",IF(AND(OR(AA251="",N(AA251)&gt;=$A251+16/24,N(AB251)&lt;=$A251+6/24),OR(AC251="",N(AC251)&lt;=$A251+6/24)),1,0)))</f>
        <v/>
      </c>
      <c r="AH251" s="26" t="str">
        <f aca="false">IF($A251="","",IF(INDEX(Muster!$C$9:$BF$9,1,MOD($A251-Einstellungen!$C$6,Einstellungen!$C$7)+1)="","-",INDEX(Muster!$C$9:$BF$9,1,MOD($A251-Einstellungen!$C$6,Einstellungen!$C$7)+1)))</f>
        <v>N</v>
      </c>
      <c r="AI251" s="27" t="n">
        <f aca="false">IF($A251="","",IFERROR(VLOOKUP(AH251,Schichten!$A$5:$G$24,6,FALSE()),0))</f>
        <v>8</v>
      </c>
      <c r="AJ251" s="27" t="n">
        <f aca="false">IF($A251="","",IFERROR(VLOOKUP(AH251,Schichten!$A$5:$G$24,7,FALSE()),0))</f>
        <v>7</v>
      </c>
      <c r="AK251" s="28" t="n">
        <f aca="false">IF($A251="","",IF(N(AI251)=0,"",$A251+VLOOKUP(AH251,Schichten!$A$5:$G$24,3,FALSE())))</f>
        <v>46634.9166666667</v>
      </c>
      <c r="AL251" s="28" t="n">
        <f aca="false">IF(AK251="","",$A251+VLOOKUP(AH251,Schichten!$A$5:$G$24,4,FALSE())+IF(VLOOKUP(AH251,Schichten!$A$5:$G$24,4,FALSE())&lt;=VLOOKUP(AH251,Schichten!$A$5:$G$24,3,FALSE()),1,0))</f>
        <v>46635.25</v>
      </c>
      <c r="AM251" s="28" t="n">
        <f aca="false">IF($A251="","",IF(N(AI250)&gt;0,AL250,AM250))</f>
        <v>46634.25</v>
      </c>
      <c r="AN251" s="27" t="n">
        <f aca="false">IF(OR(AK251="",AM251=""),"",(AK251-AM251)*24)</f>
        <v>16</v>
      </c>
      <c r="AO251" s="21" t="n">
        <f aca="false">IF($A251="","",IF(N(AI251)&gt;0,N(AO250)+1,0))</f>
        <v>6</v>
      </c>
      <c r="AP251" s="21" t="n">
        <f aca="false">IF($A251="","",IF(N(AJ251)&gt;0,N(AP250)+1,0))</f>
        <v>2</v>
      </c>
      <c r="AQ251" s="21" t="str">
        <f aca="false">IF($A251="","",IF(WEEKDAY($A251,2)&lt;&gt;7,"",IF(AND(OR(AK251="",N(AK251)&gt;=$A251+16/24,N(AL251)&lt;=$A251+6/24),OR(AM251="",N(AM251)&lt;=$A251+6/24)),1,0)))</f>
        <v/>
      </c>
      <c r="AR251" s="26" t="str">
        <f aca="false">IF($A251="","",IF(INDEX(Muster!$C$10:$BF$10,1,MOD($A251-Einstellungen!$C$6,Einstellungen!$C$7)+1)="","-",INDEX(Muster!$C$10:$BF$10,1,MOD($A251-Einstellungen!$C$6,Einstellungen!$C$7)+1)))</f>
        <v>-</v>
      </c>
      <c r="AS251" s="27" t="n">
        <f aca="false">IF($A251="","",IFERROR(VLOOKUP(AR251,Schichten!$A$5:$G$24,6,FALSE()),0))</f>
        <v>0</v>
      </c>
      <c r="AT251" s="27" t="n">
        <f aca="false">IF($A251="","",IFERROR(VLOOKUP(AR251,Schichten!$A$5:$G$24,7,FALSE()),0))</f>
        <v>0</v>
      </c>
      <c r="AU251" s="28" t="str">
        <f aca="false">IF($A251="","",IF(N(AS251)=0,"",$A251+VLOOKUP(AR251,Schichten!$A$5:$G$24,3,FALSE())))</f>
        <v/>
      </c>
      <c r="AV251" s="28" t="str">
        <f aca="false">IF(AU251="","",$A251+VLOOKUP(AR251,Schichten!$A$5:$G$24,4,FALSE())+IF(VLOOKUP(AR251,Schichten!$A$5:$G$24,4,FALSE())&lt;=VLOOKUP(AR251,Schichten!$A$5:$G$24,3,FALSE()),1,0))</f>
        <v/>
      </c>
      <c r="AW251" s="28" t="str">
        <f aca="false">IF($A251="","",IF(N(AS250)&gt;0,AV250,AW250))</f>
        <v/>
      </c>
      <c r="AX251" s="27" t="str">
        <f aca="false">IF(OR(AU251="",AW251=""),"",(AU251-AW251)*24)</f>
        <v/>
      </c>
      <c r="AY251" s="21" t="n">
        <f aca="false">IF($A251="","",IF(N(AS251)&gt;0,N(AY250)+1,0))</f>
        <v>0</v>
      </c>
      <c r="AZ251" s="21" t="n">
        <f aca="false">IF($A251="","",IF(N(AT251)&gt;0,N(AZ250)+1,0))</f>
        <v>0</v>
      </c>
      <c r="BA251" s="21" t="str">
        <f aca="false">IF($A251="","",IF(WEEKDAY($A251,2)&lt;&gt;7,"",IF(AND(OR(AU251="",N(AU251)&gt;=$A251+16/24,N(AV251)&lt;=$A251+6/24),OR(AW251="",N(AW251)&lt;=$A251+6/24)),1,0)))</f>
        <v/>
      </c>
    </row>
    <row r="252" customFormat="false" ht="15" hidden="false" customHeight="false" outlineLevel="0" collapsed="false">
      <c r="A252" s="25" t="n">
        <f aca="false">IF(YEAR(DATE(Einstellungen!$C$4,1,1)+247)=Einstellungen!$C$4,DATE(Einstellungen!$C$4,1,1)+247,"")</f>
        <v>46635</v>
      </c>
      <c r="B252" s="26" t="str">
        <f aca="false">IF($A252="","",CHOOSE(WEEKDAY($A252,2),"Mo","Di","Mi","Do","Fr","Sa","So"))</f>
        <v>So</v>
      </c>
      <c r="C252" s="26" t="n">
        <f aca="false">IF($A252="","",MONTH($A252))</f>
        <v>9</v>
      </c>
      <c r="D252" s="26" t="str">
        <f aca="false">IF($A252="","",IF(INDEX(Muster!$C$6:$BF$6,1,MOD($A252-Einstellungen!$C$6,Einstellungen!$C$7)+1)="","-",INDEX(Muster!$C$6:$BF$6,1,MOD($A252-Einstellungen!$C$6,Einstellungen!$C$7)+1)))</f>
        <v>N</v>
      </c>
      <c r="E252" s="27" t="n">
        <f aca="false">IF($A252="","",IFERROR(VLOOKUP(D252,Schichten!$A$5:$G$24,6,FALSE()),0))</f>
        <v>8</v>
      </c>
      <c r="F252" s="27" t="n">
        <f aca="false">IF($A252="","",IFERROR(VLOOKUP(D252,Schichten!$A$5:$G$24,7,FALSE()),0))</f>
        <v>7</v>
      </c>
      <c r="G252" s="28" t="n">
        <f aca="false">IF($A252="","",IF(N(E252)=0,"",$A252+VLOOKUP(D252,Schichten!$A$5:$G$24,3,FALSE())))</f>
        <v>46635.9166666667</v>
      </c>
      <c r="H252" s="28" t="n">
        <f aca="false">IF(G252="","",$A252+VLOOKUP(D252,Schichten!$A$5:$G$24,4,FALSE())+IF(VLOOKUP(D252,Schichten!$A$5:$G$24,4,FALSE())&lt;=VLOOKUP(D252,Schichten!$A$5:$G$24,3,FALSE()),1,0))</f>
        <v>46636.25</v>
      </c>
      <c r="I252" s="28" t="n">
        <f aca="false">IF($A252="","",IF(N(E251)&gt;0,H251,I251))</f>
        <v>46634.9166666667</v>
      </c>
      <c r="J252" s="27" t="n">
        <f aca="false">IF(OR(G252="",I252=""),"",(G252-I252)*24)</f>
        <v>24</v>
      </c>
      <c r="K252" s="21" t="n">
        <f aca="false">IF($A252="","",IF(N(E252)&gt;0,N(K251)+1,0))</f>
        <v>5</v>
      </c>
      <c r="L252" s="21" t="n">
        <f aca="false">IF($A252="","",IF(N(F252)&gt;0,N(L251)+1,0))</f>
        <v>1</v>
      </c>
      <c r="M252" s="21" t="n">
        <f aca="false">IF($A252="","",IF(WEEKDAY($A252,2)&lt;&gt;7,"",IF(AND(OR(G252="",N(G252)&gt;=$A252+16/24,N(H252)&lt;=$A252+6/24),OR(I252="",N(I252)&lt;=$A252+6/24)),1,0)))</f>
        <v>1</v>
      </c>
      <c r="N252" s="26" t="str">
        <f aca="false">IF($A252="","",IF(INDEX(Muster!$C$7:$BF$7,1,MOD($A252-Einstellungen!$C$6,Einstellungen!$C$7)+1)="","-",INDEX(Muster!$C$7:$BF$7,1,MOD($A252-Einstellungen!$C$6,Einstellungen!$C$7)+1)))</f>
        <v>S</v>
      </c>
      <c r="O252" s="27" t="n">
        <f aca="false">IF($A252="","",IFERROR(VLOOKUP(N252,Schichten!$A$5:$G$24,6,FALSE()),0))</f>
        <v>8</v>
      </c>
      <c r="P252" s="27" t="n">
        <f aca="false">IF($A252="","",IFERROR(VLOOKUP(N252,Schichten!$A$5:$G$24,7,FALSE()),0))</f>
        <v>0</v>
      </c>
      <c r="Q252" s="28" t="n">
        <f aca="false">IF($A252="","",IF(N(O252)=0,"",$A252+VLOOKUP(N252,Schichten!$A$5:$G$24,3,FALSE())))</f>
        <v>46635.5833333333</v>
      </c>
      <c r="R252" s="28" t="n">
        <f aca="false">IF(Q252="","",$A252+VLOOKUP(N252,Schichten!$A$5:$G$24,4,FALSE())+IF(VLOOKUP(N252,Schichten!$A$5:$G$24,4,FALSE())&lt;=VLOOKUP(N252,Schichten!$A$5:$G$24,3,FALSE()),1,0))</f>
        <v>46635.9166666667</v>
      </c>
      <c r="S252" s="28" t="n">
        <f aca="false">IF($A252="","",IF(N(O251)&gt;0,R251,S251))</f>
        <v>46634.5833333333</v>
      </c>
      <c r="T252" s="27" t="n">
        <f aca="false">IF(OR(Q252="",S252=""),"",(Q252-S252)*24)</f>
        <v>24</v>
      </c>
      <c r="U252" s="21" t="n">
        <f aca="false">IF($A252="","",IF(N(O252)&gt;0,N(U251)+1,0))</f>
        <v>3</v>
      </c>
      <c r="V252" s="21" t="n">
        <f aca="false">IF($A252="","",IF(N(P252)&gt;0,N(V251)+1,0))</f>
        <v>0</v>
      </c>
      <c r="W252" s="21" t="n">
        <f aca="false">IF($A252="","",IF(WEEKDAY($A252,2)&lt;&gt;7,"",IF(AND(OR(Q252="",N(Q252)&gt;=$A252+16/24,N(R252)&lt;=$A252+6/24),OR(S252="",N(S252)&lt;=$A252+6/24)),1,0)))</f>
        <v>0</v>
      </c>
      <c r="X252" s="26" t="str">
        <f aca="false">IF($A252="","",IF(INDEX(Muster!$C$8:$BF$8,1,MOD($A252-Einstellungen!$C$6,Einstellungen!$C$7)+1)="","-",INDEX(Muster!$C$8:$BF$8,1,MOD($A252-Einstellungen!$C$6,Einstellungen!$C$7)+1)))</f>
        <v>F</v>
      </c>
      <c r="Y252" s="27" t="n">
        <f aca="false">IF($A252="","",IFERROR(VLOOKUP(X252,Schichten!$A$5:$G$24,6,FALSE()),0))</f>
        <v>8</v>
      </c>
      <c r="Z252" s="27" t="n">
        <f aca="false">IF($A252="","",IFERROR(VLOOKUP(X252,Schichten!$A$5:$G$24,7,FALSE()),0))</f>
        <v>0</v>
      </c>
      <c r="AA252" s="28" t="n">
        <f aca="false">IF($A252="","",IF(N(Y252)=0,"",$A252+VLOOKUP(X252,Schichten!$A$5:$G$24,3,FALSE())))</f>
        <v>46635.25</v>
      </c>
      <c r="AB252" s="28" t="n">
        <f aca="false">IF(AA252="","",$A252+VLOOKUP(X252,Schichten!$A$5:$G$24,4,FALSE())+IF(VLOOKUP(X252,Schichten!$A$5:$G$24,4,FALSE())&lt;=VLOOKUP(X252,Schichten!$A$5:$G$24,3,FALSE()),1,0))</f>
        <v>46635.5833333333</v>
      </c>
      <c r="AC252" s="28" t="n">
        <f aca="false">IF($A252="","",IF(N(Y251)&gt;0,AB251,AC251))</f>
        <v>46633.25</v>
      </c>
      <c r="AD252" s="27" t="n">
        <f aca="false">IF(OR(AA252="",AC252=""),"",(AA252-AC252)*24)</f>
        <v>48</v>
      </c>
      <c r="AE252" s="21" t="n">
        <f aca="false">IF($A252="","",IF(N(Y252)&gt;0,N(AE251)+1,0))</f>
        <v>1</v>
      </c>
      <c r="AF252" s="21" t="n">
        <f aca="false">IF($A252="","",IF(N(Z252)&gt;0,N(AF251)+1,0))</f>
        <v>0</v>
      </c>
      <c r="AG252" s="21" t="n">
        <f aca="false">IF($A252="","",IF(WEEKDAY($A252,2)&lt;&gt;7,"",IF(AND(OR(AA252="",N(AA252)&gt;=$A252+16/24,N(AB252)&lt;=$A252+6/24),OR(AC252="",N(AC252)&lt;=$A252+6/24)),1,0)))</f>
        <v>0</v>
      </c>
      <c r="AH252" s="26" t="str">
        <f aca="false">IF($A252="","",IF(INDEX(Muster!$C$9:$BF$9,1,MOD($A252-Einstellungen!$C$6,Einstellungen!$C$7)+1)="","-",INDEX(Muster!$C$9:$BF$9,1,MOD($A252-Einstellungen!$C$6,Einstellungen!$C$7)+1)))</f>
        <v>-</v>
      </c>
      <c r="AI252" s="27" t="n">
        <f aca="false">IF($A252="","",IFERROR(VLOOKUP(AH252,Schichten!$A$5:$G$24,6,FALSE()),0))</f>
        <v>0</v>
      </c>
      <c r="AJ252" s="27" t="n">
        <f aca="false">IF($A252="","",IFERROR(VLOOKUP(AH252,Schichten!$A$5:$G$24,7,FALSE()),0))</f>
        <v>0</v>
      </c>
      <c r="AK252" s="28" t="str">
        <f aca="false">IF($A252="","",IF(N(AI252)=0,"",$A252+VLOOKUP(AH252,Schichten!$A$5:$G$24,3,FALSE())))</f>
        <v/>
      </c>
      <c r="AL252" s="28" t="str">
        <f aca="false">IF(AK252="","",$A252+VLOOKUP(AH252,Schichten!$A$5:$G$24,4,FALSE())+IF(VLOOKUP(AH252,Schichten!$A$5:$G$24,4,FALSE())&lt;=VLOOKUP(AH252,Schichten!$A$5:$G$24,3,FALSE()),1,0))</f>
        <v/>
      </c>
      <c r="AM252" s="28" t="n">
        <f aca="false">IF($A252="","",IF(N(AI251)&gt;0,AL251,AM251))</f>
        <v>46635.25</v>
      </c>
      <c r="AN252" s="27" t="str">
        <f aca="false">IF(OR(AK252="",AM252=""),"",(AK252-AM252)*24)</f>
        <v/>
      </c>
      <c r="AO252" s="21" t="n">
        <f aca="false">IF($A252="","",IF(N(AI252)&gt;0,N(AO251)+1,0))</f>
        <v>0</v>
      </c>
      <c r="AP252" s="21" t="n">
        <f aca="false">IF($A252="","",IF(N(AJ252)&gt;0,N(AP251)+1,0))</f>
        <v>0</v>
      </c>
      <c r="AQ252" s="21" t="n">
        <f aca="false">IF($A252="","",IF(WEEKDAY($A252,2)&lt;&gt;7,"",IF(AND(OR(AK252="",N(AK252)&gt;=$A252+16/24,N(AL252)&lt;=$A252+6/24),OR(AM252="",N(AM252)&lt;=$A252+6/24)),1,0)))</f>
        <v>1</v>
      </c>
      <c r="AR252" s="26" t="str">
        <f aca="false">IF($A252="","",IF(INDEX(Muster!$C$10:$BF$10,1,MOD($A252-Einstellungen!$C$6,Einstellungen!$C$7)+1)="","-",INDEX(Muster!$C$10:$BF$10,1,MOD($A252-Einstellungen!$C$6,Einstellungen!$C$7)+1)))</f>
        <v>-</v>
      </c>
      <c r="AS252" s="27" t="n">
        <f aca="false">IF($A252="","",IFERROR(VLOOKUP(AR252,Schichten!$A$5:$G$24,6,FALSE()),0))</f>
        <v>0</v>
      </c>
      <c r="AT252" s="27" t="n">
        <f aca="false">IF($A252="","",IFERROR(VLOOKUP(AR252,Schichten!$A$5:$G$24,7,FALSE()),0))</f>
        <v>0</v>
      </c>
      <c r="AU252" s="28" t="str">
        <f aca="false">IF($A252="","",IF(N(AS252)=0,"",$A252+VLOOKUP(AR252,Schichten!$A$5:$G$24,3,FALSE())))</f>
        <v/>
      </c>
      <c r="AV252" s="28" t="str">
        <f aca="false">IF(AU252="","",$A252+VLOOKUP(AR252,Schichten!$A$5:$G$24,4,FALSE())+IF(VLOOKUP(AR252,Schichten!$A$5:$G$24,4,FALSE())&lt;=VLOOKUP(AR252,Schichten!$A$5:$G$24,3,FALSE()),1,0))</f>
        <v/>
      </c>
      <c r="AW252" s="28" t="str">
        <f aca="false">IF($A252="","",IF(N(AS251)&gt;0,AV251,AW251))</f>
        <v/>
      </c>
      <c r="AX252" s="27" t="str">
        <f aca="false">IF(OR(AU252="",AW252=""),"",(AU252-AW252)*24)</f>
        <v/>
      </c>
      <c r="AY252" s="21" t="n">
        <f aca="false">IF($A252="","",IF(N(AS252)&gt;0,N(AY251)+1,0))</f>
        <v>0</v>
      </c>
      <c r="AZ252" s="21" t="n">
        <f aca="false">IF($A252="","",IF(N(AT252)&gt;0,N(AZ251)+1,0))</f>
        <v>0</v>
      </c>
      <c r="BA252" s="21" t="n">
        <f aca="false">IF($A252="","",IF(WEEKDAY($A252,2)&lt;&gt;7,"",IF(AND(OR(AU252="",N(AU252)&gt;=$A252+16/24,N(AV252)&lt;=$A252+6/24),OR(AW252="",N(AW252)&lt;=$A252+6/24)),1,0)))</f>
        <v>1</v>
      </c>
    </row>
    <row r="253" customFormat="false" ht="15" hidden="false" customHeight="false" outlineLevel="0" collapsed="false">
      <c r="A253" s="25" t="n">
        <f aca="false">IF(YEAR(DATE(Einstellungen!$C$4,1,1)+248)=Einstellungen!$C$4,DATE(Einstellungen!$C$4,1,1)+248,"")</f>
        <v>46636</v>
      </c>
      <c r="B253" s="26" t="str">
        <f aca="false">IF($A253="","",CHOOSE(WEEKDAY($A253,2),"Mo","Di","Mi","Do","Fr","Sa","So"))</f>
        <v>Mo</v>
      </c>
      <c r="C253" s="26" t="n">
        <f aca="false">IF($A253="","",MONTH($A253))</f>
        <v>9</v>
      </c>
      <c r="D253" s="26" t="str">
        <f aca="false">IF($A253="","",IF(INDEX(Muster!$C$6:$BF$6,1,MOD($A253-Einstellungen!$C$6,Einstellungen!$C$7)+1)="","-",INDEX(Muster!$C$6:$BF$6,1,MOD($A253-Einstellungen!$C$6,Einstellungen!$C$7)+1)))</f>
        <v>N</v>
      </c>
      <c r="E253" s="27" t="n">
        <f aca="false">IF($A253="","",IFERROR(VLOOKUP(D253,Schichten!$A$5:$G$24,6,FALSE()),0))</f>
        <v>8</v>
      </c>
      <c r="F253" s="27" t="n">
        <f aca="false">IF($A253="","",IFERROR(VLOOKUP(D253,Schichten!$A$5:$G$24,7,FALSE()),0))</f>
        <v>7</v>
      </c>
      <c r="G253" s="28" t="n">
        <f aca="false">IF($A253="","",IF(N(E253)=0,"",$A253+VLOOKUP(D253,Schichten!$A$5:$G$24,3,FALSE())))</f>
        <v>46636.9166666667</v>
      </c>
      <c r="H253" s="28" t="n">
        <f aca="false">IF(G253="","",$A253+VLOOKUP(D253,Schichten!$A$5:$G$24,4,FALSE())+IF(VLOOKUP(D253,Schichten!$A$5:$G$24,4,FALSE())&lt;=VLOOKUP(D253,Schichten!$A$5:$G$24,3,FALSE()),1,0))</f>
        <v>46637.25</v>
      </c>
      <c r="I253" s="28" t="n">
        <f aca="false">IF($A253="","",IF(N(E252)&gt;0,H252,I252))</f>
        <v>46636.25</v>
      </c>
      <c r="J253" s="27" t="n">
        <f aca="false">IF(OR(G253="",I253=""),"",(G253-I253)*24)</f>
        <v>16</v>
      </c>
      <c r="K253" s="21" t="n">
        <f aca="false">IF($A253="","",IF(N(E253)&gt;0,N(K252)+1,0))</f>
        <v>6</v>
      </c>
      <c r="L253" s="21" t="n">
        <f aca="false">IF($A253="","",IF(N(F253)&gt;0,N(L252)+1,0))</f>
        <v>2</v>
      </c>
      <c r="M253" s="21" t="str">
        <f aca="false">IF($A253="","",IF(WEEKDAY($A253,2)&lt;&gt;7,"",IF(AND(OR(G253="",N(G253)&gt;=$A253+16/24,N(H253)&lt;=$A253+6/24),OR(I253="",N(I253)&lt;=$A253+6/24)),1,0)))</f>
        <v/>
      </c>
      <c r="N253" s="26" t="str">
        <f aca="false">IF($A253="","",IF(INDEX(Muster!$C$7:$BF$7,1,MOD($A253-Einstellungen!$C$6,Einstellungen!$C$7)+1)="","-",INDEX(Muster!$C$7:$BF$7,1,MOD($A253-Einstellungen!$C$6,Einstellungen!$C$7)+1)))</f>
        <v>S</v>
      </c>
      <c r="O253" s="27" t="n">
        <f aca="false">IF($A253="","",IFERROR(VLOOKUP(N253,Schichten!$A$5:$G$24,6,FALSE()),0))</f>
        <v>8</v>
      </c>
      <c r="P253" s="27" t="n">
        <f aca="false">IF($A253="","",IFERROR(VLOOKUP(N253,Schichten!$A$5:$G$24,7,FALSE()),0))</f>
        <v>0</v>
      </c>
      <c r="Q253" s="28" t="n">
        <f aca="false">IF($A253="","",IF(N(O253)=0,"",$A253+VLOOKUP(N253,Schichten!$A$5:$G$24,3,FALSE())))</f>
        <v>46636.5833333333</v>
      </c>
      <c r="R253" s="28" t="n">
        <f aca="false">IF(Q253="","",$A253+VLOOKUP(N253,Schichten!$A$5:$G$24,4,FALSE())+IF(VLOOKUP(N253,Schichten!$A$5:$G$24,4,FALSE())&lt;=VLOOKUP(N253,Schichten!$A$5:$G$24,3,FALSE()),1,0))</f>
        <v>46636.9166666667</v>
      </c>
      <c r="S253" s="28" t="n">
        <f aca="false">IF($A253="","",IF(N(O252)&gt;0,R252,S252))</f>
        <v>46635.9166666667</v>
      </c>
      <c r="T253" s="27" t="n">
        <f aca="false">IF(OR(Q253="",S253=""),"",(Q253-S253)*24)</f>
        <v>16</v>
      </c>
      <c r="U253" s="21" t="n">
        <f aca="false">IF($A253="","",IF(N(O253)&gt;0,N(U252)+1,0))</f>
        <v>4</v>
      </c>
      <c r="V253" s="21" t="n">
        <f aca="false">IF($A253="","",IF(N(P253)&gt;0,N(V252)+1,0))</f>
        <v>0</v>
      </c>
      <c r="W253" s="21" t="str">
        <f aca="false">IF($A253="","",IF(WEEKDAY($A253,2)&lt;&gt;7,"",IF(AND(OR(Q253="",N(Q253)&gt;=$A253+16/24,N(R253)&lt;=$A253+6/24),OR(S253="",N(S253)&lt;=$A253+6/24)),1,0)))</f>
        <v/>
      </c>
      <c r="X253" s="26" t="str">
        <f aca="false">IF($A253="","",IF(INDEX(Muster!$C$8:$BF$8,1,MOD($A253-Einstellungen!$C$6,Einstellungen!$C$7)+1)="","-",INDEX(Muster!$C$8:$BF$8,1,MOD($A253-Einstellungen!$C$6,Einstellungen!$C$7)+1)))</f>
        <v>F</v>
      </c>
      <c r="Y253" s="27" t="n">
        <f aca="false">IF($A253="","",IFERROR(VLOOKUP(X253,Schichten!$A$5:$G$24,6,FALSE()),0))</f>
        <v>8</v>
      </c>
      <c r="Z253" s="27" t="n">
        <f aca="false">IF($A253="","",IFERROR(VLOOKUP(X253,Schichten!$A$5:$G$24,7,FALSE()),0))</f>
        <v>0</v>
      </c>
      <c r="AA253" s="28" t="n">
        <f aca="false">IF($A253="","",IF(N(Y253)=0,"",$A253+VLOOKUP(X253,Schichten!$A$5:$G$24,3,FALSE())))</f>
        <v>46636.25</v>
      </c>
      <c r="AB253" s="28" t="n">
        <f aca="false">IF(AA253="","",$A253+VLOOKUP(X253,Schichten!$A$5:$G$24,4,FALSE())+IF(VLOOKUP(X253,Schichten!$A$5:$G$24,4,FALSE())&lt;=VLOOKUP(X253,Schichten!$A$5:$G$24,3,FALSE()),1,0))</f>
        <v>46636.5833333333</v>
      </c>
      <c r="AC253" s="28" t="n">
        <f aca="false">IF($A253="","",IF(N(Y252)&gt;0,AB252,AC252))</f>
        <v>46635.5833333333</v>
      </c>
      <c r="AD253" s="27" t="n">
        <f aca="false">IF(OR(AA253="",AC253=""),"",(AA253-AC253)*24)</f>
        <v>16</v>
      </c>
      <c r="AE253" s="21" t="n">
        <f aca="false">IF($A253="","",IF(N(Y253)&gt;0,N(AE252)+1,0))</f>
        <v>2</v>
      </c>
      <c r="AF253" s="21" t="n">
        <f aca="false">IF($A253="","",IF(N(Z253)&gt;0,N(AF252)+1,0))</f>
        <v>0</v>
      </c>
      <c r="AG253" s="21" t="str">
        <f aca="false">IF($A253="","",IF(WEEKDAY($A253,2)&lt;&gt;7,"",IF(AND(OR(AA253="",N(AA253)&gt;=$A253+16/24,N(AB253)&lt;=$A253+6/24),OR(AC253="",N(AC253)&lt;=$A253+6/24)),1,0)))</f>
        <v/>
      </c>
      <c r="AH253" s="26" t="str">
        <f aca="false">IF($A253="","",IF(INDEX(Muster!$C$9:$BF$9,1,MOD($A253-Einstellungen!$C$6,Einstellungen!$C$7)+1)="","-",INDEX(Muster!$C$9:$BF$9,1,MOD($A253-Einstellungen!$C$6,Einstellungen!$C$7)+1)))</f>
        <v>-</v>
      </c>
      <c r="AI253" s="27" t="n">
        <f aca="false">IF($A253="","",IFERROR(VLOOKUP(AH253,Schichten!$A$5:$G$24,6,FALSE()),0))</f>
        <v>0</v>
      </c>
      <c r="AJ253" s="27" t="n">
        <f aca="false">IF($A253="","",IFERROR(VLOOKUP(AH253,Schichten!$A$5:$G$24,7,FALSE()),0))</f>
        <v>0</v>
      </c>
      <c r="AK253" s="28" t="str">
        <f aca="false">IF($A253="","",IF(N(AI253)=0,"",$A253+VLOOKUP(AH253,Schichten!$A$5:$G$24,3,FALSE())))</f>
        <v/>
      </c>
      <c r="AL253" s="28" t="str">
        <f aca="false">IF(AK253="","",$A253+VLOOKUP(AH253,Schichten!$A$5:$G$24,4,FALSE())+IF(VLOOKUP(AH253,Schichten!$A$5:$G$24,4,FALSE())&lt;=VLOOKUP(AH253,Schichten!$A$5:$G$24,3,FALSE()),1,0))</f>
        <v/>
      </c>
      <c r="AM253" s="28" t="n">
        <f aca="false">IF($A253="","",IF(N(AI252)&gt;0,AL252,AM252))</f>
        <v>46635.25</v>
      </c>
      <c r="AN253" s="27" t="str">
        <f aca="false">IF(OR(AK253="",AM253=""),"",(AK253-AM253)*24)</f>
        <v/>
      </c>
      <c r="AO253" s="21" t="n">
        <f aca="false">IF($A253="","",IF(N(AI253)&gt;0,N(AO252)+1,0))</f>
        <v>0</v>
      </c>
      <c r="AP253" s="21" t="n">
        <f aca="false">IF($A253="","",IF(N(AJ253)&gt;0,N(AP252)+1,0))</f>
        <v>0</v>
      </c>
      <c r="AQ253" s="21" t="str">
        <f aca="false">IF($A253="","",IF(WEEKDAY($A253,2)&lt;&gt;7,"",IF(AND(OR(AK253="",N(AK253)&gt;=$A253+16/24,N(AL253)&lt;=$A253+6/24),OR(AM253="",N(AM253)&lt;=$A253+6/24)),1,0)))</f>
        <v/>
      </c>
      <c r="AR253" s="26" t="str">
        <f aca="false">IF($A253="","",IF(INDEX(Muster!$C$10:$BF$10,1,MOD($A253-Einstellungen!$C$6,Einstellungen!$C$7)+1)="","-",INDEX(Muster!$C$10:$BF$10,1,MOD($A253-Einstellungen!$C$6,Einstellungen!$C$7)+1)))</f>
        <v>-</v>
      </c>
      <c r="AS253" s="27" t="n">
        <f aca="false">IF($A253="","",IFERROR(VLOOKUP(AR253,Schichten!$A$5:$G$24,6,FALSE()),0))</f>
        <v>0</v>
      </c>
      <c r="AT253" s="27" t="n">
        <f aca="false">IF($A253="","",IFERROR(VLOOKUP(AR253,Schichten!$A$5:$G$24,7,FALSE()),0))</f>
        <v>0</v>
      </c>
      <c r="AU253" s="28" t="str">
        <f aca="false">IF($A253="","",IF(N(AS253)=0,"",$A253+VLOOKUP(AR253,Schichten!$A$5:$G$24,3,FALSE())))</f>
        <v/>
      </c>
      <c r="AV253" s="28" t="str">
        <f aca="false">IF(AU253="","",$A253+VLOOKUP(AR253,Schichten!$A$5:$G$24,4,FALSE())+IF(VLOOKUP(AR253,Schichten!$A$5:$G$24,4,FALSE())&lt;=VLOOKUP(AR253,Schichten!$A$5:$G$24,3,FALSE()),1,0))</f>
        <v/>
      </c>
      <c r="AW253" s="28" t="str">
        <f aca="false">IF($A253="","",IF(N(AS252)&gt;0,AV252,AW252))</f>
        <v/>
      </c>
      <c r="AX253" s="27" t="str">
        <f aca="false">IF(OR(AU253="",AW253=""),"",(AU253-AW253)*24)</f>
        <v/>
      </c>
      <c r="AY253" s="21" t="n">
        <f aca="false">IF($A253="","",IF(N(AS253)&gt;0,N(AY252)+1,0))</f>
        <v>0</v>
      </c>
      <c r="AZ253" s="21" t="n">
        <f aca="false">IF($A253="","",IF(N(AT253)&gt;0,N(AZ252)+1,0))</f>
        <v>0</v>
      </c>
      <c r="BA253" s="21" t="str">
        <f aca="false">IF($A253="","",IF(WEEKDAY($A253,2)&lt;&gt;7,"",IF(AND(OR(AU253="",N(AU253)&gt;=$A253+16/24,N(AV253)&lt;=$A253+6/24),OR(AW253="",N(AW253)&lt;=$A253+6/24)),1,0)))</f>
        <v/>
      </c>
    </row>
    <row r="254" customFormat="false" ht="15" hidden="false" customHeight="false" outlineLevel="0" collapsed="false">
      <c r="A254" s="25" t="n">
        <f aca="false">IF(YEAR(DATE(Einstellungen!$C$4,1,1)+249)=Einstellungen!$C$4,DATE(Einstellungen!$C$4,1,1)+249,"")</f>
        <v>46637</v>
      </c>
      <c r="B254" s="26" t="str">
        <f aca="false">IF($A254="","",CHOOSE(WEEKDAY($A254,2),"Mo","Di","Mi","Do","Fr","Sa","So"))</f>
        <v>Di</v>
      </c>
      <c r="C254" s="26" t="n">
        <f aca="false">IF($A254="","",MONTH($A254))</f>
        <v>9</v>
      </c>
      <c r="D254" s="26" t="str">
        <f aca="false">IF($A254="","",IF(INDEX(Muster!$C$6:$BF$6,1,MOD($A254-Einstellungen!$C$6,Einstellungen!$C$7)+1)="","-",INDEX(Muster!$C$6:$BF$6,1,MOD($A254-Einstellungen!$C$6,Einstellungen!$C$7)+1)))</f>
        <v>-</v>
      </c>
      <c r="E254" s="27" t="n">
        <f aca="false">IF($A254="","",IFERROR(VLOOKUP(D254,Schichten!$A$5:$G$24,6,FALSE()),0))</f>
        <v>0</v>
      </c>
      <c r="F254" s="27" t="n">
        <f aca="false">IF($A254="","",IFERROR(VLOOKUP(D254,Schichten!$A$5:$G$24,7,FALSE()),0))</f>
        <v>0</v>
      </c>
      <c r="G254" s="28" t="str">
        <f aca="false">IF($A254="","",IF(N(E254)=0,"",$A254+VLOOKUP(D254,Schichten!$A$5:$G$24,3,FALSE())))</f>
        <v/>
      </c>
      <c r="H254" s="28" t="str">
        <f aca="false">IF(G254="","",$A254+VLOOKUP(D254,Schichten!$A$5:$G$24,4,FALSE())+IF(VLOOKUP(D254,Schichten!$A$5:$G$24,4,FALSE())&lt;=VLOOKUP(D254,Schichten!$A$5:$G$24,3,FALSE()),1,0))</f>
        <v/>
      </c>
      <c r="I254" s="28" t="n">
        <f aca="false">IF($A254="","",IF(N(E253)&gt;0,H253,I253))</f>
        <v>46637.25</v>
      </c>
      <c r="J254" s="27" t="str">
        <f aca="false">IF(OR(G254="",I254=""),"",(G254-I254)*24)</f>
        <v/>
      </c>
      <c r="K254" s="21" t="n">
        <f aca="false">IF($A254="","",IF(N(E254)&gt;0,N(K253)+1,0))</f>
        <v>0</v>
      </c>
      <c r="L254" s="21" t="n">
        <f aca="false">IF($A254="","",IF(N(F254)&gt;0,N(L253)+1,0))</f>
        <v>0</v>
      </c>
      <c r="M254" s="21" t="str">
        <f aca="false">IF($A254="","",IF(WEEKDAY($A254,2)&lt;&gt;7,"",IF(AND(OR(G254="",N(G254)&gt;=$A254+16/24,N(H254)&lt;=$A254+6/24),OR(I254="",N(I254)&lt;=$A254+6/24)),1,0)))</f>
        <v/>
      </c>
      <c r="N254" s="26" t="str">
        <f aca="false">IF($A254="","",IF(INDEX(Muster!$C$7:$BF$7,1,MOD($A254-Einstellungen!$C$6,Einstellungen!$C$7)+1)="","-",INDEX(Muster!$C$7:$BF$7,1,MOD($A254-Einstellungen!$C$6,Einstellungen!$C$7)+1)))</f>
        <v>N</v>
      </c>
      <c r="O254" s="27" t="n">
        <f aca="false">IF($A254="","",IFERROR(VLOOKUP(N254,Schichten!$A$5:$G$24,6,FALSE()),0))</f>
        <v>8</v>
      </c>
      <c r="P254" s="27" t="n">
        <f aca="false">IF($A254="","",IFERROR(VLOOKUP(N254,Schichten!$A$5:$G$24,7,FALSE()),0))</f>
        <v>7</v>
      </c>
      <c r="Q254" s="28" t="n">
        <f aca="false">IF($A254="","",IF(N(O254)=0,"",$A254+VLOOKUP(N254,Schichten!$A$5:$G$24,3,FALSE())))</f>
        <v>46637.9166666667</v>
      </c>
      <c r="R254" s="28" t="n">
        <f aca="false">IF(Q254="","",$A254+VLOOKUP(N254,Schichten!$A$5:$G$24,4,FALSE())+IF(VLOOKUP(N254,Schichten!$A$5:$G$24,4,FALSE())&lt;=VLOOKUP(N254,Schichten!$A$5:$G$24,3,FALSE()),1,0))</f>
        <v>46638.25</v>
      </c>
      <c r="S254" s="28" t="n">
        <f aca="false">IF($A254="","",IF(N(O253)&gt;0,R253,S253))</f>
        <v>46636.9166666667</v>
      </c>
      <c r="T254" s="27" t="n">
        <f aca="false">IF(OR(Q254="",S254=""),"",(Q254-S254)*24)</f>
        <v>24</v>
      </c>
      <c r="U254" s="21" t="n">
        <f aca="false">IF($A254="","",IF(N(O254)&gt;0,N(U253)+1,0))</f>
        <v>5</v>
      </c>
      <c r="V254" s="21" t="n">
        <f aca="false">IF($A254="","",IF(N(P254)&gt;0,N(V253)+1,0))</f>
        <v>1</v>
      </c>
      <c r="W254" s="21" t="str">
        <f aca="false">IF($A254="","",IF(WEEKDAY($A254,2)&lt;&gt;7,"",IF(AND(OR(Q254="",N(Q254)&gt;=$A254+16/24,N(R254)&lt;=$A254+6/24),OR(S254="",N(S254)&lt;=$A254+6/24)),1,0)))</f>
        <v/>
      </c>
      <c r="X254" s="26" t="str">
        <f aca="false">IF($A254="","",IF(INDEX(Muster!$C$8:$BF$8,1,MOD($A254-Einstellungen!$C$6,Einstellungen!$C$7)+1)="","-",INDEX(Muster!$C$8:$BF$8,1,MOD($A254-Einstellungen!$C$6,Einstellungen!$C$7)+1)))</f>
        <v>S</v>
      </c>
      <c r="Y254" s="27" t="n">
        <f aca="false">IF($A254="","",IFERROR(VLOOKUP(X254,Schichten!$A$5:$G$24,6,FALSE()),0))</f>
        <v>8</v>
      </c>
      <c r="Z254" s="27" t="n">
        <f aca="false">IF($A254="","",IFERROR(VLOOKUP(X254,Schichten!$A$5:$G$24,7,FALSE()),0))</f>
        <v>0</v>
      </c>
      <c r="AA254" s="28" t="n">
        <f aca="false">IF($A254="","",IF(N(Y254)=0,"",$A254+VLOOKUP(X254,Schichten!$A$5:$G$24,3,FALSE())))</f>
        <v>46637.5833333333</v>
      </c>
      <c r="AB254" s="28" t="n">
        <f aca="false">IF(AA254="","",$A254+VLOOKUP(X254,Schichten!$A$5:$G$24,4,FALSE())+IF(VLOOKUP(X254,Schichten!$A$5:$G$24,4,FALSE())&lt;=VLOOKUP(X254,Schichten!$A$5:$G$24,3,FALSE()),1,0))</f>
        <v>46637.9166666667</v>
      </c>
      <c r="AC254" s="28" t="n">
        <f aca="false">IF($A254="","",IF(N(Y253)&gt;0,AB253,AC253))</f>
        <v>46636.5833333333</v>
      </c>
      <c r="AD254" s="27" t="n">
        <f aca="false">IF(OR(AA254="",AC254=""),"",(AA254-AC254)*24)</f>
        <v>24</v>
      </c>
      <c r="AE254" s="21" t="n">
        <f aca="false">IF($A254="","",IF(N(Y254)&gt;0,N(AE253)+1,0))</f>
        <v>3</v>
      </c>
      <c r="AF254" s="21" t="n">
        <f aca="false">IF($A254="","",IF(N(Z254)&gt;0,N(AF253)+1,0))</f>
        <v>0</v>
      </c>
      <c r="AG254" s="21" t="str">
        <f aca="false">IF($A254="","",IF(WEEKDAY($A254,2)&lt;&gt;7,"",IF(AND(OR(AA254="",N(AA254)&gt;=$A254+16/24,N(AB254)&lt;=$A254+6/24),OR(AC254="",N(AC254)&lt;=$A254+6/24)),1,0)))</f>
        <v/>
      </c>
      <c r="AH254" s="26" t="str">
        <f aca="false">IF($A254="","",IF(INDEX(Muster!$C$9:$BF$9,1,MOD($A254-Einstellungen!$C$6,Einstellungen!$C$7)+1)="","-",INDEX(Muster!$C$9:$BF$9,1,MOD($A254-Einstellungen!$C$6,Einstellungen!$C$7)+1)))</f>
        <v>F</v>
      </c>
      <c r="AI254" s="27" t="n">
        <f aca="false">IF($A254="","",IFERROR(VLOOKUP(AH254,Schichten!$A$5:$G$24,6,FALSE()),0))</f>
        <v>8</v>
      </c>
      <c r="AJ254" s="27" t="n">
        <f aca="false">IF($A254="","",IFERROR(VLOOKUP(AH254,Schichten!$A$5:$G$24,7,FALSE()),0))</f>
        <v>0</v>
      </c>
      <c r="AK254" s="28" t="n">
        <f aca="false">IF($A254="","",IF(N(AI254)=0,"",$A254+VLOOKUP(AH254,Schichten!$A$5:$G$24,3,FALSE())))</f>
        <v>46637.25</v>
      </c>
      <c r="AL254" s="28" t="n">
        <f aca="false">IF(AK254="","",$A254+VLOOKUP(AH254,Schichten!$A$5:$G$24,4,FALSE())+IF(VLOOKUP(AH254,Schichten!$A$5:$G$24,4,FALSE())&lt;=VLOOKUP(AH254,Schichten!$A$5:$G$24,3,FALSE()),1,0))</f>
        <v>46637.5833333333</v>
      </c>
      <c r="AM254" s="28" t="n">
        <f aca="false">IF($A254="","",IF(N(AI253)&gt;0,AL253,AM253))</f>
        <v>46635.25</v>
      </c>
      <c r="AN254" s="27" t="n">
        <f aca="false">IF(OR(AK254="",AM254=""),"",(AK254-AM254)*24)</f>
        <v>48</v>
      </c>
      <c r="AO254" s="21" t="n">
        <f aca="false">IF($A254="","",IF(N(AI254)&gt;0,N(AO253)+1,0))</f>
        <v>1</v>
      </c>
      <c r="AP254" s="21" t="n">
        <f aca="false">IF($A254="","",IF(N(AJ254)&gt;0,N(AP253)+1,0))</f>
        <v>0</v>
      </c>
      <c r="AQ254" s="21" t="str">
        <f aca="false">IF($A254="","",IF(WEEKDAY($A254,2)&lt;&gt;7,"",IF(AND(OR(AK254="",N(AK254)&gt;=$A254+16/24,N(AL254)&lt;=$A254+6/24),OR(AM254="",N(AM254)&lt;=$A254+6/24)),1,0)))</f>
        <v/>
      </c>
      <c r="AR254" s="26" t="str">
        <f aca="false">IF($A254="","",IF(INDEX(Muster!$C$10:$BF$10,1,MOD($A254-Einstellungen!$C$6,Einstellungen!$C$7)+1)="","-",INDEX(Muster!$C$10:$BF$10,1,MOD($A254-Einstellungen!$C$6,Einstellungen!$C$7)+1)))</f>
        <v>-</v>
      </c>
      <c r="AS254" s="27" t="n">
        <f aca="false">IF($A254="","",IFERROR(VLOOKUP(AR254,Schichten!$A$5:$G$24,6,FALSE()),0))</f>
        <v>0</v>
      </c>
      <c r="AT254" s="27" t="n">
        <f aca="false">IF($A254="","",IFERROR(VLOOKUP(AR254,Schichten!$A$5:$G$24,7,FALSE()),0))</f>
        <v>0</v>
      </c>
      <c r="AU254" s="28" t="str">
        <f aca="false">IF($A254="","",IF(N(AS254)=0,"",$A254+VLOOKUP(AR254,Schichten!$A$5:$G$24,3,FALSE())))</f>
        <v/>
      </c>
      <c r="AV254" s="28" t="str">
        <f aca="false">IF(AU254="","",$A254+VLOOKUP(AR254,Schichten!$A$5:$G$24,4,FALSE())+IF(VLOOKUP(AR254,Schichten!$A$5:$G$24,4,FALSE())&lt;=VLOOKUP(AR254,Schichten!$A$5:$G$24,3,FALSE()),1,0))</f>
        <v/>
      </c>
      <c r="AW254" s="28" t="str">
        <f aca="false">IF($A254="","",IF(N(AS253)&gt;0,AV253,AW253))</f>
        <v/>
      </c>
      <c r="AX254" s="27" t="str">
        <f aca="false">IF(OR(AU254="",AW254=""),"",(AU254-AW254)*24)</f>
        <v/>
      </c>
      <c r="AY254" s="21" t="n">
        <f aca="false">IF($A254="","",IF(N(AS254)&gt;0,N(AY253)+1,0))</f>
        <v>0</v>
      </c>
      <c r="AZ254" s="21" t="n">
        <f aca="false">IF($A254="","",IF(N(AT254)&gt;0,N(AZ253)+1,0))</f>
        <v>0</v>
      </c>
      <c r="BA254" s="21" t="str">
        <f aca="false">IF($A254="","",IF(WEEKDAY($A254,2)&lt;&gt;7,"",IF(AND(OR(AU254="",N(AU254)&gt;=$A254+16/24,N(AV254)&lt;=$A254+6/24),OR(AW254="",N(AW254)&lt;=$A254+6/24)),1,0)))</f>
        <v/>
      </c>
    </row>
    <row r="255" customFormat="false" ht="15" hidden="false" customHeight="false" outlineLevel="0" collapsed="false">
      <c r="A255" s="25" t="n">
        <f aca="false">IF(YEAR(DATE(Einstellungen!$C$4,1,1)+250)=Einstellungen!$C$4,DATE(Einstellungen!$C$4,1,1)+250,"")</f>
        <v>46638</v>
      </c>
      <c r="B255" s="26" t="str">
        <f aca="false">IF($A255="","",CHOOSE(WEEKDAY($A255,2),"Mo","Di","Mi","Do","Fr","Sa","So"))</f>
        <v>Mi</v>
      </c>
      <c r="C255" s="26" t="n">
        <f aca="false">IF($A255="","",MONTH($A255))</f>
        <v>9</v>
      </c>
      <c r="D255" s="26" t="str">
        <f aca="false">IF($A255="","",IF(INDEX(Muster!$C$6:$BF$6,1,MOD($A255-Einstellungen!$C$6,Einstellungen!$C$7)+1)="","-",INDEX(Muster!$C$6:$BF$6,1,MOD($A255-Einstellungen!$C$6,Einstellungen!$C$7)+1)))</f>
        <v>-</v>
      </c>
      <c r="E255" s="27" t="n">
        <f aca="false">IF($A255="","",IFERROR(VLOOKUP(D255,Schichten!$A$5:$G$24,6,FALSE()),0))</f>
        <v>0</v>
      </c>
      <c r="F255" s="27" t="n">
        <f aca="false">IF($A255="","",IFERROR(VLOOKUP(D255,Schichten!$A$5:$G$24,7,FALSE()),0))</f>
        <v>0</v>
      </c>
      <c r="G255" s="28" t="str">
        <f aca="false">IF($A255="","",IF(N(E255)=0,"",$A255+VLOOKUP(D255,Schichten!$A$5:$G$24,3,FALSE())))</f>
        <v/>
      </c>
      <c r="H255" s="28" t="str">
        <f aca="false">IF(G255="","",$A255+VLOOKUP(D255,Schichten!$A$5:$G$24,4,FALSE())+IF(VLOOKUP(D255,Schichten!$A$5:$G$24,4,FALSE())&lt;=VLOOKUP(D255,Schichten!$A$5:$G$24,3,FALSE()),1,0))</f>
        <v/>
      </c>
      <c r="I255" s="28" t="n">
        <f aca="false">IF($A255="","",IF(N(E254)&gt;0,H254,I254))</f>
        <v>46637.25</v>
      </c>
      <c r="J255" s="27" t="str">
        <f aca="false">IF(OR(G255="",I255=""),"",(G255-I255)*24)</f>
        <v/>
      </c>
      <c r="K255" s="21" t="n">
        <f aca="false">IF($A255="","",IF(N(E255)&gt;0,N(K254)+1,0))</f>
        <v>0</v>
      </c>
      <c r="L255" s="21" t="n">
        <f aca="false">IF($A255="","",IF(N(F255)&gt;0,N(L254)+1,0))</f>
        <v>0</v>
      </c>
      <c r="M255" s="21" t="str">
        <f aca="false">IF($A255="","",IF(WEEKDAY($A255,2)&lt;&gt;7,"",IF(AND(OR(G255="",N(G255)&gt;=$A255+16/24,N(H255)&lt;=$A255+6/24),OR(I255="",N(I255)&lt;=$A255+6/24)),1,0)))</f>
        <v/>
      </c>
      <c r="N255" s="26" t="str">
        <f aca="false">IF($A255="","",IF(INDEX(Muster!$C$7:$BF$7,1,MOD($A255-Einstellungen!$C$6,Einstellungen!$C$7)+1)="","-",INDEX(Muster!$C$7:$BF$7,1,MOD($A255-Einstellungen!$C$6,Einstellungen!$C$7)+1)))</f>
        <v>N</v>
      </c>
      <c r="O255" s="27" t="n">
        <f aca="false">IF($A255="","",IFERROR(VLOOKUP(N255,Schichten!$A$5:$G$24,6,FALSE()),0))</f>
        <v>8</v>
      </c>
      <c r="P255" s="27" t="n">
        <f aca="false">IF($A255="","",IFERROR(VLOOKUP(N255,Schichten!$A$5:$G$24,7,FALSE()),0))</f>
        <v>7</v>
      </c>
      <c r="Q255" s="28" t="n">
        <f aca="false">IF($A255="","",IF(N(O255)=0,"",$A255+VLOOKUP(N255,Schichten!$A$5:$G$24,3,FALSE())))</f>
        <v>46638.9166666667</v>
      </c>
      <c r="R255" s="28" t="n">
        <f aca="false">IF(Q255="","",$A255+VLOOKUP(N255,Schichten!$A$5:$G$24,4,FALSE())+IF(VLOOKUP(N255,Schichten!$A$5:$G$24,4,FALSE())&lt;=VLOOKUP(N255,Schichten!$A$5:$G$24,3,FALSE()),1,0))</f>
        <v>46639.25</v>
      </c>
      <c r="S255" s="28" t="n">
        <f aca="false">IF($A255="","",IF(N(O254)&gt;0,R254,S254))</f>
        <v>46638.25</v>
      </c>
      <c r="T255" s="27" t="n">
        <f aca="false">IF(OR(Q255="",S255=""),"",(Q255-S255)*24)</f>
        <v>16</v>
      </c>
      <c r="U255" s="21" t="n">
        <f aca="false">IF($A255="","",IF(N(O255)&gt;0,N(U254)+1,0))</f>
        <v>6</v>
      </c>
      <c r="V255" s="21" t="n">
        <f aca="false">IF($A255="","",IF(N(P255)&gt;0,N(V254)+1,0))</f>
        <v>2</v>
      </c>
      <c r="W255" s="21" t="str">
        <f aca="false">IF($A255="","",IF(WEEKDAY($A255,2)&lt;&gt;7,"",IF(AND(OR(Q255="",N(Q255)&gt;=$A255+16/24,N(R255)&lt;=$A255+6/24),OR(S255="",N(S255)&lt;=$A255+6/24)),1,0)))</f>
        <v/>
      </c>
      <c r="X255" s="26" t="str">
        <f aca="false">IF($A255="","",IF(INDEX(Muster!$C$8:$BF$8,1,MOD($A255-Einstellungen!$C$6,Einstellungen!$C$7)+1)="","-",INDEX(Muster!$C$8:$BF$8,1,MOD($A255-Einstellungen!$C$6,Einstellungen!$C$7)+1)))</f>
        <v>S</v>
      </c>
      <c r="Y255" s="27" t="n">
        <f aca="false">IF($A255="","",IFERROR(VLOOKUP(X255,Schichten!$A$5:$G$24,6,FALSE()),0))</f>
        <v>8</v>
      </c>
      <c r="Z255" s="27" t="n">
        <f aca="false">IF($A255="","",IFERROR(VLOOKUP(X255,Schichten!$A$5:$G$24,7,FALSE()),0))</f>
        <v>0</v>
      </c>
      <c r="AA255" s="28" t="n">
        <f aca="false">IF($A255="","",IF(N(Y255)=0,"",$A255+VLOOKUP(X255,Schichten!$A$5:$G$24,3,FALSE())))</f>
        <v>46638.5833333333</v>
      </c>
      <c r="AB255" s="28" t="n">
        <f aca="false">IF(AA255="","",$A255+VLOOKUP(X255,Schichten!$A$5:$G$24,4,FALSE())+IF(VLOOKUP(X255,Schichten!$A$5:$G$24,4,FALSE())&lt;=VLOOKUP(X255,Schichten!$A$5:$G$24,3,FALSE()),1,0))</f>
        <v>46638.9166666667</v>
      </c>
      <c r="AC255" s="28" t="n">
        <f aca="false">IF($A255="","",IF(N(Y254)&gt;0,AB254,AC254))</f>
        <v>46637.9166666667</v>
      </c>
      <c r="AD255" s="27" t="n">
        <f aca="false">IF(OR(AA255="",AC255=""),"",(AA255-AC255)*24)</f>
        <v>16</v>
      </c>
      <c r="AE255" s="21" t="n">
        <f aca="false">IF($A255="","",IF(N(Y255)&gt;0,N(AE254)+1,0))</f>
        <v>4</v>
      </c>
      <c r="AF255" s="21" t="n">
        <f aca="false">IF($A255="","",IF(N(Z255)&gt;0,N(AF254)+1,0))</f>
        <v>0</v>
      </c>
      <c r="AG255" s="21" t="str">
        <f aca="false">IF($A255="","",IF(WEEKDAY($A255,2)&lt;&gt;7,"",IF(AND(OR(AA255="",N(AA255)&gt;=$A255+16/24,N(AB255)&lt;=$A255+6/24),OR(AC255="",N(AC255)&lt;=$A255+6/24)),1,0)))</f>
        <v/>
      </c>
      <c r="AH255" s="26" t="str">
        <f aca="false">IF($A255="","",IF(INDEX(Muster!$C$9:$BF$9,1,MOD($A255-Einstellungen!$C$6,Einstellungen!$C$7)+1)="","-",INDEX(Muster!$C$9:$BF$9,1,MOD($A255-Einstellungen!$C$6,Einstellungen!$C$7)+1)))</f>
        <v>F</v>
      </c>
      <c r="AI255" s="27" t="n">
        <f aca="false">IF($A255="","",IFERROR(VLOOKUP(AH255,Schichten!$A$5:$G$24,6,FALSE()),0))</f>
        <v>8</v>
      </c>
      <c r="AJ255" s="27" t="n">
        <f aca="false">IF($A255="","",IFERROR(VLOOKUP(AH255,Schichten!$A$5:$G$24,7,FALSE()),0))</f>
        <v>0</v>
      </c>
      <c r="AK255" s="28" t="n">
        <f aca="false">IF($A255="","",IF(N(AI255)=0,"",$A255+VLOOKUP(AH255,Schichten!$A$5:$G$24,3,FALSE())))</f>
        <v>46638.25</v>
      </c>
      <c r="AL255" s="28" t="n">
        <f aca="false">IF(AK255="","",$A255+VLOOKUP(AH255,Schichten!$A$5:$G$24,4,FALSE())+IF(VLOOKUP(AH255,Schichten!$A$5:$G$24,4,FALSE())&lt;=VLOOKUP(AH255,Schichten!$A$5:$G$24,3,FALSE()),1,0))</f>
        <v>46638.5833333333</v>
      </c>
      <c r="AM255" s="28" t="n">
        <f aca="false">IF($A255="","",IF(N(AI254)&gt;0,AL254,AM254))</f>
        <v>46637.5833333333</v>
      </c>
      <c r="AN255" s="27" t="n">
        <f aca="false">IF(OR(AK255="",AM255=""),"",(AK255-AM255)*24)</f>
        <v>16</v>
      </c>
      <c r="AO255" s="21" t="n">
        <f aca="false">IF($A255="","",IF(N(AI255)&gt;0,N(AO254)+1,0))</f>
        <v>2</v>
      </c>
      <c r="AP255" s="21" t="n">
        <f aca="false">IF($A255="","",IF(N(AJ255)&gt;0,N(AP254)+1,0))</f>
        <v>0</v>
      </c>
      <c r="AQ255" s="21" t="str">
        <f aca="false">IF($A255="","",IF(WEEKDAY($A255,2)&lt;&gt;7,"",IF(AND(OR(AK255="",N(AK255)&gt;=$A255+16/24,N(AL255)&lt;=$A255+6/24),OR(AM255="",N(AM255)&lt;=$A255+6/24)),1,0)))</f>
        <v/>
      </c>
      <c r="AR255" s="26" t="str">
        <f aca="false">IF($A255="","",IF(INDEX(Muster!$C$10:$BF$10,1,MOD($A255-Einstellungen!$C$6,Einstellungen!$C$7)+1)="","-",INDEX(Muster!$C$10:$BF$10,1,MOD($A255-Einstellungen!$C$6,Einstellungen!$C$7)+1)))</f>
        <v>-</v>
      </c>
      <c r="AS255" s="27" t="n">
        <f aca="false">IF($A255="","",IFERROR(VLOOKUP(AR255,Schichten!$A$5:$G$24,6,FALSE()),0))</f>
        <v>0</v>
      </c>
      <c r="AT255" s="27" t="n">
        <f aca="false">IF($A255="","",IFERROR(VLOOKUP(AR255,Schichten!$A$5:$G$24,7,FALSE()),0))</f>
        <v>0</v>
      </c>
      <c r="AU255" s="28" t="str">
        <f aca="false">IF($A255="","",IF(N(AS255)=0,"",$A255+VLOOKUP(AR255,Schichten!$A$5:$G$24,3,FALSE())))</f>
        <v/>
      </c>
      <c r="AV255" s="28" t="str">
        <f aca="false">IF(AU255="","",$A255+VLOOKUP(AR255,Schichten!$A$5:$G$24,4,FALSE())+IF(VLOOKUP(AR255,Schichten!$A$5:$G$24,4,FALSE())&lt;=VLOOKUP(AR255,Schichten!$A$5:$G$24,3,FALSE()),1,0))</f>
        <v/>
      </c>
      <c r="AW255" s="28" t="str">
        <f aca="false">IF($A255="","",IF(N(AS254)&gt;0,AV254,AW254))</f>
        <v/>
      </c>
      <c r="AX255" s="27" t="str">
        <f aca="false">IF(OR(AU255="",AW255=""),"",(AU255-AW255)*24)</f>
        <v/>
      </c>
      <c r="AY255" s="21" t="n">
        <f aca="false">IF($A255="","",IF(N(AS255)&gt;0,N(AY254)+1,0))</f>
        <v>0</v>
      </c>
      <c r="AZ255" s="21" t="n">
        <f aca="false">IF($A255="","",IF(N(AT255)&gt;0,N(AZ254)+1,0))</f>
        <v>0</v>
      </c>
      <c r="BA255" s="21" t="str">
        <f aca="false">IF($A255="","",IF(WEEKDAY($A255,2)&lt;&gt;7,"",IF(AND(OR(AU255="",N(AU255)&gt;=$A255+16/24,N(AV255)&lt;=$A255+6/24),OR(AW255="",N(AW255)&lt;=$A255+6/24)),1,0)))</f>
        <v/>
      </c>
    </row>
    <row r="256" customFormat="false" ht="15" hidden="false" customHeight="false" outlineLevel="0" collapsed="false">
      <c r="A256" s="25" t="n">
        <f aca="false">IF(YEAR(DATE(Einstellungen!$C$4,1,1)+251)=Einstellungen!$C$4,DATE(Einstellungen!$C$4,1,1)+251,"")</f>
        <v>46639</v>
      </c>
      <c r="B256" s="26" t="str">
        <f aca="false">IF($A256="","",CHOOSE(WEEKDAY($A256,2),"Mo","Di","Mi","Do","Fr","Sa","So"))</f>
        <v>Do</v>
      </c>
      <c r="C256" s="26" t="n">
        <f aca="false">IF($A256="","",MONTH($A256))</f>
        <v>9</v>
      </c>
      <c r="D256" s="26" t="str">
        <f aca="false">IF($A256="","",IF(INDEX(Muster!$C$6:$BF$6,1,MOD($A256-Einstellungen!$C$6,Einstellungen!$C$7)+1)="","-",INDEX(Muster!$C$6:$BF$6,1,MOD($A256-Einstellungen!$C$6,Einstellungen!$C$7)+1)))</f>
        <v>F</v>
      </c>
      <c r="E256" s="27" t="n">
        <f aca="false">IF($A256="","",IFERROR(VLOOKUP(D256,Schichten!$A$5:$G$24,6,FALSE()),0))</f>
        <v>8</v>
      </c>
      <c r="F256" s="27" t="n">
        <f aca="false">IF($A256="","",IFERROR(VLOOKUP(D256,Schichten!$A$5:$G$24,7,FALSE()),0))</f>
        <v>0</v>
      </c>
      <c r="G256" s="28" t="n">
        <f aca="false">IF($A256="","",IF(N(E256)=0,"",$A256+VLOOKUP(D256,Schichten!$A$5:$G$24,3,FALSE())))</f>
        <v>46639.25</v>
      </c>
      <c r="H256" s="28" t="n">
        <f aca="false">IF(G256="","",$A256+VLOOKUP(D256,Schichten!$A$5:$G$24,4,FALSE())+IF(VLOOKUP(D256,Schichten!$A$5:$G$24,4,FALSE())&lt;=VLOOKUP(D256,Schichten!$A$5:$G$24,3,FALSE()),1,0))</f>
        <v>46639.5833333333</v>
      </c>
      <c r="I256" s="28" t="n">
        <f aca="false">IF($A256="","",IF(N(E255)&gt;0,H255,I255))</f>
        <v>46637.25</v>
      </c>
      <c r="J256" s="27" t="n">
        <f aca="false">IF(OR(G256="",I256=""),"",(G256-I256)*24)</f>
        <v>48</v>
      </c>
      <c r="K256" s="21" t="n">
        <f aca="false">IF($A256="","",IF(N(E256)&gt;0,N(K255)+1,0))</f>
        <v>1</v>
      </c>
      <c r="L256" s="21" t="n">
        <f aca="false">IF($A256="","",IF(N(F256)&gt;0,N(L255)+1,0))</f>
        <v>0</v>
      </c>
      <c r="M256" s="21" t="str">
        <f aca="false">IF($A256="","",IF(WEEKDAY($A256,2)&lt;&gt;7,"",IF(AND(OR(G256="",N(G256)&gt;=$A256+16/24,N(H256)&lt;=$A256+6/24),OR(I256="",N(I256)&lt;=$A256+6/24)),1,0)))</f>
        <v/>
      </c>
      <c r="N256" s="26" t="str">
        <f aca="false">IF($A256="","",IF(INDEX(Muster!$C$7:$BF$7,1,MOD($A256-Einstellungen!$C$6,Einstellungen!$C$7)+1)="","-",INDEX(Muster!$C$7:$BF$7,1,MOD($A256-Einstellungen!$C$6,Einstellungen!$C$7)+1)))</f>
        <v>-</v>
      </c>
      <c r="O256" s="27" t="n">
        <f aca="false">IF($A256="","",IFERROR(VLOOKUP(N256,Schichten!$A$5:$G$24,6,FALSE()),0))</f>
        <v>0</v>
      </c>
      <c r="P256" s="27" t="n">
        <f aca="false">IF($A256="","",IFERROR(VLOOKUP(N256,Schichten!$A$5:$G$24,7,FALSE()),0))</f>
        <v>0</v>
      </c>
      <c r="Q256" s="28" t="str">
        <f aca="false">IF($A256="","",IF(N(O256)=0,"",$A256+VLOOKUP(N256,Schichten!$A$5:$G$24,3,FALSE())))</f>
        <v/>
      </c>
      <c r="R256" s="28" t="str">
        <f aca="false">IF(Q256="","",$A256+VLOOKUP(N256,Schichten!$A$5:$G$24,4,FALSE())+IF(VLOOKUP(N256,Schichten!$A$5:$G$24,4,FALSE())&lt;=VLOOKUP(N256,Schichten!$A$5:$G$24,3,FALSE()),1,0))</f>
        <v/>
      </c>
      <c r="S256" s="28" t="n">
        <f aca="false">IF($A256="","",IF(N(O255)&gt;0,R255,S255))</f>
        <v>46639.25</v>
      </c>
      <c r="T256" s="27" t="str">
        <f aca="false">IF(OR(Q256="",S256=""),"",(Q256-S256)*24)</f>
        <v/>
      </c>
      <c r="U256" s="21" t="n">
        <f aca="false">IF($A256="","",IF(N(O256)&gt;0,N(U255)+1,0))</f>
        <v>0</v>
      </c>
      <c r="V256" s="21" t="n">
        <f aca="false">IF($A256="","",IF(N(P256)&gt;0,N(V255)+1,0))</f>
        <v>0</v>
      </c>
      <c r="W256" s="21" t="str">
        <f aca="false">IF($A256="","",IF(WEEKDAY($A256,2)&lt;&gt;7,"",IF(AND(OR(Q256="",N(Q256)&gt;=$A256+16/24,N(R256)&lt;=$A256+6/24),OR(S256="",N(S256)&lt;=$A256+6/24)),1,0)))</f>
        <v/>
      </c>
      <c r="X256" s="26" t="str">
        <f aca="false">IF($A256="","",IF(INDEX(Muster!$C$8:$BF$8,1,MOD($A256-Einstellungen!$C$6,Einstellungen!$C$7)+1)="","-",INDEX(Muster!$C$8:$BF$8,1,MOD($A256-Einstellungen!$C$6,Einstellungen!$C$7)+1)))</f>
        <v>N</v>
      </c>
      <c r="Y256" s="27" t="n">
        <f aca="false">IF($A256="","",IFERROR(VLOOKUP(X256,Schichten!$A$5:$G$24,6,FALSE()),0))</f>
        <v>8</v>
      </c>
      <c r="Z256" s="27" t="n">
        <f aca="false">IF($A256="","",IFERROR(VLOOKUP(X256,Schichten!$A$5:$G$24,7,FALSE()),0))</f>
        <v>7</v>
      </c>
      <c r="AA256" s="28" t="n">
        <f aca="false">IF($A256="","",IF(N(Y256)=0,"",$A256+VLOOKUP(X256,Schichten!$A$5:$G$24,3,FALSE())))</f>
        <v>46639.9166666667</v>
      </c>
      <c r="AB256" s="28" t="n">
        <f aca="false">IF(AA256="","",$A256+VLOOKUP(X256,Schichten!$A$5:$G$24,4,FALSE())+IF(VLOOKUP(X256,Schichten!$A$5:$G$24,4,FALSE())&lt;=VLOOKUP(X256,Schichten!$A$5:$G$24,3,FALSE()),1,0))</f>
        <v>46640.25</v>
      </c>
      <c r="AC256" s="28" t="n">
        <f aca="false">IF($A256="","",IF(N(Y255)&gt;0,AB255,AC255))</f>
        <v>46638.9166666667</v>
      </c>
      <c r="AD256" s="27" t="n">
        <f aca="false">IF(OR(AA256="",AC256=""),"",(AA256-AC256)*24)</f>
        <v>24</v>
      </c>
      <c r="AE256" s="21" t="n">
        <f aca="false">IF($A256="","",IF(N(Y256)&gt;0,N(AE255)+1,0))</f>
        <v>5</v>
      </c>
      <c r="AF256" s="21" t="n">
        <f aca="false">IF($A256="","",IF(N(Z256)&gt;0,N(AF255)+1,0))</f>
        <v>1</v>
      </c>
      <c r="AG256" s="21" t="str">
        <f aca="false">IF($A256="","",IF(WEEKDAY($A256,2)&lt;&gt;7,"",IF(AND(OR(AA256="",N(AA256)&gt;=$A256+16/24,N(AB256)&lt;=$A256+6/24),OR(AC256="",N(AC256)&lt;=$A256+6/24)),1,0)))</f>
        <v/>
      </c>
      <c r="AH256" s="26" t="str">
        <f aca="false">IF($A256="","",IF(INDEX(Muster!$C$9:$BF$9,1,MOD($A256-Einstellungen!$C$6,Einstellungen!$C$7)+1)="","-",INDEX(Muster!$C$9:$BF$9,1,MOD($A256-Einstellungen!$C$6,Einstellungen!$C$7)+1)))</f>
        <v>S</v>
      </c>
      <c r="AI256" s="27" t="n">
        <f aca="false">IF($A256="","",IFERROR(VLOOKUP(AH256,Schichten!$A$5:$G$24,6,FALSE()),0))</f>
        <v>8</v>
      </c>
      <c r="AJ256" s="27" t="n">
        <f aca="false">IF($A256="","",IFERROR(VLOOKUP(AH256,Schichten!$A$5:$G$24,7,FALSE()),0))</f>
        <v>0</v>
      </c>
      <c r="AK256" s="28" t="n">
        <f aca="false">IF($A256="","",IF(N(AI256)=0,"",$A256+VLOOKUP(AH256,Schichten!$A$5:$G$24,3,FALSE())))</f>
        <v>46639.5833333333</v>
      </c>
      <c r="AL256" s="28" t="n">
        <f aca="false">IF(AK256="","",$A256+VLOOKUP(AH256,Schichten!$A$5:$G$24,4,FALSE())+IF(VLOOKUP(AH256,Schichten!$A$5:$G$24,4,FALSE())&lt;=VLOOKUP(AH256,Schichten!$A$5:$G$24,3,FALSE()),1,0))</f>
        <v>46639.9166666667</v>
      </c>
      <c r="AM256" s="28" t="n">
        <f aca="false">IF($A256="","",IF(N(AI255)&gt;0,AL255,AM255))</f>
        <v>46638.5833333333</v>
      </c>
      <c r="AN256" s="27" t="n">
        <f aca="false">IF(OR(AK256="",AM256=""),"",(AK256-AM256)*24)</f>
        <v>24</v>
      </c>
      <c r="AO256" s="21" t="n">
        <f aca="false">IF($A256="","",IF(N(AI256)&gt;0,N(AO255)+1,0))</f>
        <v>3</v>
      </c>
      <c r="AP256" s="21" t="n">
        <f aca="false">IF($A256="","",IF(N(AJ256)&gt;0,N(AP255)+1,0))</f>
        <v>0</v>
      </c>
      <c r="AQ256" s="21" t="str">
        <f aca="false">IF($A256="","",IF(WEEKDAY($A256,2)&lt;&gt;7,"",IF(AND(OR(AK256="",N(AK256)&gt;=$A256+16/24,N(AL256)&lt;=$A256+6/24),OR(AM256="",N(AM256)&lt;=$A256+6/24)),1,0)))</f>
        <v/>
      </c>
      <c r="AR256" s="26" t="str">
        <f aca="false">IF($A256="","",IF(INDEX(Muster!$C$10:$BF$10,1,MOD($A256-Einstellungen!$C$6,Einstellungen!$C$7)+1)="","-",INDEX(Muster!$C$10:$BF$10,1,MOD($A256-Einstellungen!$C$6,Einstellungen!$C$7)+1)))</f>
        <v>-</v>
      </c>
      <c r="AS256" s="27" t="n">
        <f aca="false">IF($A256="","",IFERROR(VLOOKUP(AR256,Schichten!$A$5:$G$24,6,FALSE()),0))</f>
        <v>0</v>
      </c>
      <c r="AT256" s="27" t="n">
        <f aca="false">IF($A256="","",IFERROR(VLOOKUP(AR256,Schichten!$A$5:$G$24,7,FALSE()),0))</f>
        <v>0</v>
      </c>
      <c r="AU256" s="28" t="str">
        <f aca="false">IF($A256="","",IF(N(AS256)=0,"",$A256+VLOOKUP(AR256,Schichten!$A$5:$G$24,3,FALSE())))</f>
        <v/>
      </c>
      <c r="AV256" s="28" t="str">
        <f aca="false">IF(AU256="","",$A256+VLOOKUP(AR256,Schichten!$A$5:$G$24,4,FALSE())+IF(VLOOKUP(AR256,Schichten!$A$5:$G$24,4,FALSE())&lt;=VLOOKUP(AR256,Schichten!$A$5:$G$24,3,FALSE()),1,0))</f>
        <v/>
      </c>
      <c r="AW256" s="28" t="str">
        <f aca="false">IF($A256="","",IF(N(AS255)&gt;0,AV255,AW255))</f>
        <v/>
      </c>
      <c r="AX256" s="27" t="str">
        <f aca="false">IF(OR(AU256="",AW256=""),"",(AU256-AW256)*24)</f>
        <v/>
      </c>
      <c r="AY256" s="21" t="n">
        <f aca="false">IF($A256="","",IF(N(AS256)&gt;0,N(AY255)+1,0))</f>
        <v>0</v>
      </c>
      <c r="AZ256" s="21" t="n">
        <f aca="false">IF($A256="","",IF(N(AT256)&gt;0,N(AZ255)+1,0))</f>
        <v>0</v>
      </c>
      <c r="BA256" s="21" t="str">
        <f aca="false">IF($A256="","",IF(WEEKDAY($A256,2)&lt;&gt;7,"",IF(AND(OR(AU256="",N(AU256)&gt;=$A256+16/24,N(AV256)&lt;=$A256+6/24),OR(AW256="",N(AW256)&lt;=$A256+6/24)),1,0)))</f>
        <v/>
      </c>
    </row>
    <row r="257" customFormat="false" ht="15" hidden="false" customHeight="false" outlineLevel="0" collapsed="false">
      <c r="A257" s="25" t="n">
        <f aca="false">IF(YEAR(DATE(Einstellungen!$C$4,1,1)+252)=Einstellungen!$C$4,DATE(Einstellungen!$C$4,1,1)+252,"")</f>
        <v>46640</v>
      </c>
      <c r="B257" s="26" t="str">
        <f aca="false">IF($A257="","",CHOOSE(WEEKDAY($A257,2),"Mo","Di","Mi","Do","Fr","Sa","So"))</f>
        <v>Fr</v>
      </c>
      <c r="C257" s="26" t="n">
        <f aca="false">IF($A257="","",MONTH($A257))</f>
        <v>9</v>
      </c>
      <c r="D257" s="26" t="str">
        <f aca="false">IF($A257="","",IF(INDEX(Muster!$C$6:$BF$6,1,MOD($A257-Einstellungen!$C$6,Einstellungen!$C$7)+1)="","-",INDEX(Muster!$C$6:$BF$6,1,MOD($A257-Einstellungen!$C$6,Einstellungen!$C$7)+1)))</f>
        <v>F</v>
      </c>
      <c r="E257" s="27" t="n">
        <f aca="false">IF($A257="","",IFERROR(VLOOKUP(D257,Schichten!$A$5:$G$24,6,FALSE()),0))</f>
        <v>8</v>
      </c>
      <c r="F257" s="27" t="n">
        <f aca="false">IF($A257="","",IFERROR(VLOOKUP(D257,Schichten!$A$5:$G$24,7,FALSE()),0))</f>
        <v>0</v>
      </c>
      <c r="G257" s="28" t="n">
        <f aca="false">IF($A257="","",IF(N(E257)=0,"",$A257+VLOOKUP(D257,Schichten!$A$5:$G$24,3,FALSE())))</f>
        <v>46640.25</v>
      </c>
      <c r="H257" s="28" t="n">
        <f aca="false">IF(G257="","",$A257+VLOOKUP(D257,Schichten!$A$5:$G$24,4,FALSE())+IF(VLOOKUP(D257,Schichten!$A$5:$G$24,4,FALSE())&lt;=VLOOKUP(D257,Schichten!$A$5:$G$24,3,FALSE()),1,0))</f>
        <v>46640.5833333333</v>
      </c>
      <c r="I257" s="28" t="n">
        <f aca="false">IF($A257="","",IF(N(E256)&gt;0,H256,I256))</f>
        <v>46639.5833333333</v>
      </c>
      <c r="J257" s="27" t="n">
        <f aca="false">IF(OR(G257="",I257=""),"",(G257-I257)*24)</f>
        <v>16</v>
      </c>
      <c r="K257" s="21" t="n">
        <f aca="false">IF($A257="","",IF(N(E257)&gt;0,N(K256)+1,0))</f>
        <v>2</v>
      </c>
      <c r="L257" s="21" t="n">
        <f aca="false">IF($A257="","",IF(N(F257)&gt;0,N(L256)+1,0))</f>
        <v>0</v>
      </c>
      <c r="M257" s="21" t="str">
        <f aca="false">IF($A257="","",IF(WEEKDAY($A257,2)&lt;&gt;7,"",IF(AND(OR(G257="",N(G257)&gt;=$A257+16/24,N(H257)&lt;=$A257+6/24),OR(I257="",N(I257)&lt;=$A257+6/24)),1,0)))</f>
        <v/>
      </c>
      <c r="N257" s="26" t="str">
        <f aca="false">IF($A257="","",IF(INDEX(Muster!$C$7:$BF$7,1,MOD($A257-Einstellungen!$C$6,Einstellungen!$C$7)+1)="","-",INDEX(Muster!$C$7:$BF$7,1,MOD($A257-Einstellungen!$C$6,Einstellungen!$C$7)+1)))</f>
        <v>-</v>
      </c>
      <c r="O257" s="27" t="n">
        <f aca="false">IF($A257="","",IFERROR(VLOOKUP(N257,Schichten!$A$5:$G$24,6,FALSE()),0))</f>
        <v>0</v>
      </c>
      <c r="P257" s="27" t="n">
        <f aca="false">IF($A257="","",IFERROR(VLOOKUP(N257,Schichten!$A$5:$G$24,7,FALSE()),0))</f>
        <v>0</v>
      </c>
      <c r="Q257" s="28" t="str">
        <f aca="false">IF($A257="","",IF(N(O257)=0,"",$A257+VLOOKUP(N257,Schichten!$A$5:$G$24,3,FALSE())))</f>
        <v/>
      </c>
      <c r="R257" s="28" t="str">
        <f aca="false">IF(Q257="","",$A257+VLOOKUP(N257,Schichten!$A$5:$G$24,4,FALSE())+IF(VLOOKUP(N257,Schichten!$A$5:$G$24,4,FALSE())&lt;=VLOOKUP(N257,Schichten!$A$5:$G$24,3,FALSE()),1,0))</f>
        <v/>
      </c>
      <c r="S257" s="28" t="n">
        <f aca="false">IF($A257="","",IF(N(O256)&gt;0,R256,S256))</f>
        <v>46639.25</v>
      </c>
      <c r="T257" s="27" t="str">
        <f aca="false">IF(OR(Q257="",S257=""),"",(Q257-S257)*24)</f>
        <v/>
      </c>
      <c r="U257" s="21" t="n">
        <f aca="false">IF($A257="","",IF(N(O257)&gt;0,N(U256)+1,0))</f>
        <v>0</v>
      </c>
      <c r="V257" s="21" t="n">
        <f aca="false">IF($A257="","",IF(N(P257)&gt;0,N(V256)+1,0))</f>
        <v>0</v>
      </c>
      <c r="W257" s="21" t="str">
        <f aca="false">IF($A257="","",IF(WEEKDAY($A257,2)&lt;&gt;7,"",IF(AND(OR(Q257="",N(Q257)&gt;=$A257+16/24,N(R257)&lt;=$A257+6/24),OR(S257="",N(S257)&lt;=$A257+6/24)),1,0)))</f>
        <v/>
      </c>
      <c r="X257" s="26" t="str">
        <f aca="false">IF($A257="","",IF(INDEX(Muster!$C$8:$BF$8,1,MOD($A257-Einstellungen!$C$6,Einstellungen!$C$7)+1)="","-",INDEX(Muster!$C$8:$BF$8,1,MOD($A257-Einstellungen!$C$6,Einstellungen!$C$7)+1)))</f>
        <v>N</v>
      </c>
      <c r="Y257" s="27" t="n">
        <f aca="false">IF($A257="","",IFERROR(VLOOKUP(X257,Schichten!$A$5:$G$24,6,FALSE()),0))</f>
        <v>8</v>
      </c>
      <c r="Z257" s="27" t="n">
        <f aca="false">IF($A257="","",IFERROR(VLOOKUP(X257,Schichten!$A$5:$G$24,7,FALSE()),0))</f>
        <v>7</v>
      </c>
      <c r="AA257" s="28" t="n">
        <f aca="false">IF($A257="","",IF(N(Y257)=0,"",$A257+VLOOKUP(X257,Schichten!$A$5:$G$24,3,FALSE())))</f>
        <v>46640.9166666667</v>
      </c>
      <c r="AB257" s="28" t="n">
        <f aca="false">IF(AA257="","",$A257+VLOOKUP(X257,Schichten!$A$5:$G$24,4,FALSE())+IF(VLOOKUP(X257,Schichten!$A$5:$G$24,4,FALSE())&lt;=VLOOKUP(X257,Schichten!$A$5:$G$24,3,FALSE()),1,0))</f>
        <v>46641.25</v>
      </c>
      <c r="AC257" s="28" t="n">
        <f aca="false">IF($A257="","",IF(N(Y256)&gt;0,AB256,AC256))</f>
        <v>46640.25</v>
      </c>
      <c r="AD257" s="27" t="n">
        <f aca="false">IF(OR(AA257="",AC257=""),"",(AA257-AC257)*24)</f>
        <v>16</v>
      </c>
      <c r="AE257" s="21" t="n">
        <f aca="false">IF($A257="","",IF(N(Y257)&gt;0,N(AE256)+1,0))</f>
        <v>6</v>
      </c>
      <c r="AF257" s="21" t="n">
        <f aca="false">IF($A257="","",IF(N(Z257)&gt;0,N(AF256)+1,0))</f>
        <v>2</v>
      </c>
      <c r="AG257" s="21" t="str">
        <f aca="false">IF($A257="","",IF(WEEKDAY($A257,2)&lt;&gt;7,"",IF(AND(OR(AA257="",N(AA257)&gt;=$A257+16/24,N(AB257)&lt;=$A257+6/24),OR(AC257="",N(AC257)&lt;=$A257+6/24)),1,0)))</f>
        <v/>
      </c>
      <c r="AH257" s="26" t="str">
        <f aca="false">IF($A257="","",IF(INDEX(Muster!$C$9:$BF$9,1,MOD($A257-Einstellungen!$C$6,Einstellungen!$C$7)+1)="","-",INDEX(Muster!$C$9:$BF$9,1,MOD($A257-Einstellungen!$C$6,Einstellungen!$C$7)+1)))</f>
        <v>S</v>
      </c>
      <c r="AI257" s="27" t="n">
        <f aca="false">IF($A257="","",IFERROR(VLOOKUP(AH257,Schichten!$A$5:$G$24,6,FALSE()),0))</f>
        <v>8</v>
      </c>
      <c r="AJ257" s="27" t="n">
        <f aca="false">IF($A257="","",IFERROR(VLOOKUP(AH257,Schichten!$A$5:$G$24,7,FALSE()),0))</f>
        <v>0</v>
      </c>
      <c r="AK257" s="28" t="n">
        <f aca="false">IF($A257="","",IF(N(AI257)=0,"",$A257+VLOOKUP(AH257,Schichten!$A$5:$G$24,3,FALSE())))</f>
        <v>46640.5833333333</v>
      </c>
      <c r="AL257" s="28" t="n">
        <f aca="false">IF(AK257="","",$A257+VLOOKUP(AH257,Schichten!$A$5:$G$24,4,FALSE())+IF(VLOOKUP(AH257,Schichten!$A$5:$G$24,4,FALSE())&lt;=VLOOKUP(AH257,Schichten!$A$5:$G$24,3,FALSE()),1,0))</f>
        <v>46640.9166666667</v>
      </c>
      <c r="AM257" s="28" t="n">
        <f aca="false">IF($A257="","",IF(N(AI256)&gt;0,AL256,AM256))</f>
        <v>46639.9166666667</v>
      </c>
      <c r="AN257" s="27" t="n">
        <f aca="false">IF(OR(AK257="",AM257=""),"",(AK257-AM257)*24)</f>
        <v>16</v>
      </c>
      <c r="AO257" s="21" t="n">
        <f aca="false">IF($A257="","",IF(N(AI257)&gt;0,N(AO256)+1,0))</f>
        <v>4</v>
      </c>
      <c r="AP257" s="21" t="n">
        <f aca="false">IF($A257="","",IF(N(AJ257)&gt;0,N(AP256)+1,0))</f>
        <v>0</v>
      </c>
      <c r="AQ257" s="21" t="str">
        <f aca="false">IF($A257="","",IF(WEEKDAY($A257,2)&lt;&gt;7,"",IF(AND(OR(AK257="",N(AK257)&gt;=$A257+16/24,N(AL257)&lt;=$A257+6/24),OR(AM257="",N(AM257)&lt;=$A257+6/24)),1,0)))</f>
        <v/>
      </c>
      <c r="AR257" s="26" t="str">
        <f aca="false">IF($A257="","",IF(INDEX(Muster!$C$10:$BF$10,1,MOD($A257-Einstellungen!$C$6,Einstellungen!$C$7)+1)="","-",INDEX(Muster!$C$10:$BF$10,1,MOD($A257-Einstellungen!$C$6,Einstellungen!$C$7)+1)))</f>
        <v>-</v>
      </c>
      <c r="AS257" s="27" t="n">
        <f aca="false">IF($A257="","",IFERROR(VLOOKUP(AR257,Schichten!$A$5:$G$24,6,FALSE()),0))</f>
        <v>0</v>
      </c>
      <c r="AT257" s="27" t="n">
        <f aca="false">IF($A257="","",IFERROR(VLOOKUP(AR257,Schichten!$A$5:$G$24,7,FALSE()),0))</f>
        <v>0</v>
      </c>
      <c r="AU257" s="28" t="str">
        <f aca="false">IF($A257="","",IF(N(AS257)=0,"",$A257+VLOOKUP(AR257,Schichten!$A$5:$G$24,3,FALSE())))</f>
        <v/>
      </c>
      <c r="AV257" s="28" t="str">
        <f aca="false">IF(AU257="","",$A257+VLOOKUP(AR257,Schichten!$A$5:$G$24,4,FALSE())+IF(VLOOKUP(AR257,Schichten!$A$5:$G$24,4,FALSE())&lt;=VLOOKUP(AR257,Schichten!$A$5:$G$24,3,FALSE()),1,0))</f>
        <v/>
      </c>
      <c r="AW257" s="28" t="str">
        <f aca="false">IF($A257="","",IF(N(AS256)&gt;0,AV256,AW256))</f>
        <v/>
      </c>
      <c r="AX257" s="27" t="str">
        <f aca="false">IF(OR(AU257="",AW257=""),"",(AU257-AW257)*24)</f>
        <v/>
      </c>
      <c r="AY257" s="21" t="n">
        <f aca="false">IF($A257="","",IF(N(AS257)&gt;0,N(AY256)+1,0))</f>
        <v>0</v>
      </c>
      <c r="AZ257" s="21" t="n">
        <f aca="false">IF($A257="","",IF(N(AT257)&gt;0,N(AZ256)+1,0))</f>
        <v>0</v>
      </c>
      <c r="BA257" s="21" t="str">
        <f aca="false">IF($A257="","",IF(WEEKDAY($A257,2)&lt;&gt;7,"",IF(AND(OR(AU257="",N(AU257)&gt;=$A257+16/24,N(AV257)&lt;=$A257+6/24),OR(AW257="",N(AW257)&lt;=$A257+6/24)),1,0)))</f>
        <v/>
      </c>
    </row>
    <row r="258" customFormat="false" ht="15" hidden="false" customHeight="false" outlineLevel="0" collapsed="false">
      <c r="A258" s="25" t="n">
        <f aca="false">IF(YEAR(DATE(Einstellungen!$C$4,1,1)+253)=Einstellungen!$C$4,DATE(Einstellungen!$C$4,1,1)+253,"")</f>
        <v>46641</v>
      </c>
      <c r="B258" s="26" t="str">
        <f aca="false">IF($A258="","",CHOOSE(WEEKDAY($A258,2),"Mo","Di","Mi","Do","Fr","Sa","So"))</f>
        <v>Sa</v>
      </c>
      <c r="C258" s="26" t="n">
        <f aca="false">IF($A258="","",MONTH($A258))</f>
        <v>9</v>
      </c>
      <c r="D258" s="26" t="str">
        <f aca="false">IF($A258="","",IF(INDEX(Muster!$C$6:$BF$6,1,MOD($A258-Einstellungen!$C$6,Einstellungen!$C$7)+1)="","-",INDEX(Muster!$C$6:$BF$6,1,MOD($A258-Einstellungen!$C$6,Einstellungen!$C$7)+1)))</f>
        <v>S</v>
      </c>
      <c r="E258" s="27" t="n">
        <f aca="false">IF($A258="","",IFERROR(VLOOKUP(D258,Schichten!$A$5:$G$24,6,FALSE()),0))</f>
        <v>8</v>
      </c>
      <c r="F258" s="27" t="n">
        <f aca="false">IF($A258="","",IFERROR(VLOOKUP(D258,Schichten!$A$5:$G$24,7,FALSE()),0))</f>
        <v>0</v>
      </c>
      <c r="G258" s="28" t="n">
        <f aca="false">IF($A258="","",IF(N(E258)=0,"",$A258+VLOOKUP(D258,Schichten!$A$5:$G$24,3,FALSE())))</f>
        <v>46641.5833333333</v>
      </c>
      <c r="H258" s="28" t="n">
        <f aca="false">IF(G258="","",$A258+VLOOKUP(D258,Schichten!$A$5:$G$24,4,FALSE())+IF(VLOOKUP(D258,Schichten!$A$5:$G$24,4,FALSE())&lt;=VLOOKUP(D258,Schichten!$A$5:$G$24,3,FALSE()),1,0))</f>
        <v>46641.9166666667</v>
      </c>
      <c r="I258" s="28" t="n">
        <f aca="false">IF($A258="","",IF(N(E257)&gt;0,H257,I257))</f>
        <v>46640.5833333333</v>
      </c>
      <c r="J258" s="27" t="n">
        <f aca="false">IF(OR(G258="",I258=""),"",(G258-I258)*24)</f>
        <v>24</v>
      </c>
      <c r="K258" s="21" t="n">
        <f aca="false">IF($A258="","",IF(N(E258)&gt;0,N(K257)+1,0))</f>
        <v>3</v>
      </c>
      <c r="L258" s="21" t="n">
        <f aca="false">IF($A258="","",IF(N(F258)&gt;0,N(L257)+1,0))</f>
        <v>0</v>
      </c>
      <c r="M258" s="21" t="str">
        <f aca="false">IF($A258="","",IF(WEEKDAY($A258,2)&lt;&gt;7,"",IF(AND(OR(G258="",N(G258)&gt;=$A258+16/24,N(H258)&lt;=$A258+6/24),OR(I258="",N(I258)&lt;=$A258+6/24)),1,0)))</f>
        <v/>
      </c>
      <c r="N258" s="26" t="str">
        <f aca="false">IF($A258="","",IF(INDEX(Muster!$C$7:$BF$7,1,MOD($A258-Einstellungen!$C$6,Einstellungen!$C$7)+1)="","-",INDEX(Muster!$C$7:$BF$7,1,MOD($A258-Einstellungen!$C$6,Einstellungen!$C$7)+1)))</f>
        <v>F</v>
      </c>
      <c r="O258" s="27" t="n">
        <f aca="false">IF($A258="","",IFERROR(VLOOKUP(N258,Schichten!$A$5:$G$24,6,FALSE()),0))</f>
        <v>8</v>
      </c>
      <c r="P258" s="27" t="n">
        <f aca="false">IF($A258="","",IFERROR(VLOOKUP(N258,Schichten!$A$5:$G$24,7,FALSE()),0))</f>
        <v>0</v>
      </c>
      <c r="Q258" s="28" t="n">
        <f aca="false">IF($A258="","",IF(N(O258)=0,"",$A258+VLOOKUP(N258,Schichten!$A$5:$G$24,3,FALSE())))</f>
        <v>46641.25</v>
      </c>
      <c r="R258" s="28" t="n">
        <f aca="false">IF(Q258="","",$A258+VLOOKUP(N258,Schichten!$A$5:$G$24,4,FALSE())+IF(VLOOKUP(N258,Schichten!$A$5:$G$24,4,FALSE())&lt;=VLOOKUP(N258,Schichten!$A$5:$G$24,3,FALSE()),1,0))</f>
        <v>46641.5833333333</v>
      </c>
      <c r="S258" s="28" t="n">
        <f aca="false">IF($A258="","",IF(N(O257)&gt;0,R257,S257))</f>
        <v>46639.25</v>
      </c>
      <c r="T258" s="27" t="n">
        <f aca="false">IF(OR(Q258="",S258=""),"",(Q258-S258)*24)</f>
        <v>48</v>
      </c>
      <c r="U258" s="21" t="n">
        <f aca="false">IF($A258="","",IF(N(O258)&gt;0,N(U257)+1,0))</f>
        <v>1</v>
      </c>
      <c r="V258" s="21" t="n">
        <f aca="false">IF($A258="","",IF(N(P258)&gt;0,N(V257)+1,0))</f>
        <v>0</v>
      </c>
      <c r="W258" s="21" t="str">
        <f aca="false">IF($A258="","",IF(WEEKDAY($A258,2)&lt;&gt;7,"",IF(AND(OR(Q258="",N(Q258)&gt;=$A258+16/24,N(R258)&lt;=$A258+6/24),OR(S258="",N(S258)&lt;=$A258+6/24)),1,0)))</f>
        <v/>
      </c>
      <c r="X258" s="26" t="str">
        <f aca="false">IF($A258="","",IF(INDEX(Muster!$C$8:$BF$8,1,MOD($A258-Einstellungen!$C$6,Einstellungen!$C$7)+1)="","-",INDEX(Muster!$C$8:$BF$8,1,MOD($A258-Einstellungen!$C$6,Einstellungen!$C$7)+1)))</f>
        <v>-</v>
      </c>
      <c r="Y258" s="27" t="n">
        <f aca="false">IF($A258="","",IFERROR(VLOOKUP(X258,Schichten!$A$5:$G$24,6,FALSE()),0))</f>
        <v>0</v>
      </c>
      <c r="Z258" s="27" t="n">
        <f aca="false">IF($A258="","",IFERROR(VLOOKUP(X258,Schichten!$A$5:$G$24,7,FALSE()),0))</f>
        <v>0</v>
      </c>
      <c r="AA258" s="28" t="str">
        <f aca="false">IF($A258="","",IF(N(Y258)=0,"",$A258+VLOOKUP(X258,Schichten!$A$5:$G$24,3,FALSE())))</f>
        <v/>
      </c>
      <c r="AB258" s="28" t="str">
        <f aca="false">IF(AA258="","",$A258+VLOOKUP(X258,Schichten!$A$5:$G$24,4,FALSE())+IF(VLOOKUP(X258,Schichten!$A$5:$G$24,4,FALSE())&lt;=VLOOKUP(X258,Schichten!$A$5:$G$24,3,FALSE()),1,0))</f>
        <v/>
      </c>
      <c r="AC258" s="28" t="n">
        <f aca="false">IF($A258="","",IF(N(Y257)&gt;0,AB257,AC257))</f>
        <v>46641.25</v>
      </c>
      <c r="AD258" s="27" t="str">
        <f aca="false">IF(OR(AA258="",AC258=""),"",(AA258-AC258)*24)</f>
        <v/>
      </c>
      <c r="AE258" s="21" t="n">
        <f aca="false">IF($A258="","",IF(N(Y258)&gt;0,N(AE257)+1,0))</f>
        <v>0</v>
      </c>
      <c r="AF258" s="21" t="n">
        <f aca="false">IF($A258="","",IF(N(Z258)&gt;0,N(AF257)+1,0))</f>
        <v>0</v>
      </c>
      <c r="AG258" s="21" t="str">
        <f aca="false">IF($A258="","",IF(WEEKDAY($A258,2)&lt;&gt;7,"",IF(AND(OR(AA258="",N(AA258)&gt;=$A258+16/24,N(AB258)&lt;=$A258+6/24),OR(AC258="",N(AC258)&lt;=$A258+6/24)),1,0)))</f>
        <v/>
      </c>
      <c r="AH258" s="26" t="str">
        <f aca="false">IF($A258="","",IF(INDEX(Muster!$C$9:$BF$9,1,MOD($A258-Einstellungen!$C$6,Einstellungen!$C$7)+1)="","-",INDEX(Muster!$C$9:$BF$9,1,MOD($A258-Einstellungen!$C$6,Einstellungen!$C$7)+1)))</f>
        <v>N</v>
      </c>
      <c r="AI258" s="27" t="n">
        <f aca="false">IF($A258="","",IFERROR(VLOOKUP(AH258,Schichten!$A$5:$G$24,6,FALSE()),0))</f>
        <v>8</v>
      </c>
      <c r="AJ258" s="27" t="n">
        <f aca="false">IF($A258="","",IFERROR(VLOOKUP(AH258,Schichten!$A$5:$G$24,7,FALSE()),0))</f>
        <v>7</v>
      </c>
      <c r="AK258" s="28" t="n">
        <f aca="false">IF($A258="","",IF(N(AI258)=0,"",$A258+VLOOKUP(AH258,Schichten!$A$5:$G$24,3,FALSE())))</f>
        <v>46641.9166666667</v>
      </c>
      <c r="AL258" s="28" t="n">
        <f aca="false">IF(AK258="","",$A258+VLOOKUP(AH258,Schichten!$A$5:$G$24,4,FALSE())+IF(VLOOKUP(AH258,Schichten!$A$5:$G$24,4,FALSE())&lt;=VLOOKUP(AH258,Schichten!$A$5:$G$24,3,FALSE()),1,0))</f>
        <v>46642.25</v>
      </c>
      <c r="AM258" s="28" t="n">
        <f aca="false">IF($A258="","",IF(N(AI257)&gt;0,AL257,AM257))</f>
        <v>46640.9166666667</v>
      </c>
      <c r="AN258" s="27" t="n">
        <f aca="false">IF(OR(AK258="",AM258=""),"",(AK258-AM258)*24)</f>
        <v>24</v>
      </c>
      <c r="AO258" s="21" t="n">
        <f aca="false">IF($A258="","",IF(N(AI258)&gt;0,N(AO257)+1,0))</f>
        <v>5</v>
      </c>
      <c r="AP258" s="21" t="n">
        <f aca="false">IF($A258="","",IF(N(AJ258)&gt;0,N(AP257)+1,0))</f>
        <v>1</v>
      </c>
      <c r="AQ258" s="21" t="str">
        <f aca="false">IF($A258="","",IF(WEEKDAY($A258,2)&lt;&gt;7,"",IF(AND(OR(AK258="",N(AK258)&gt;=$A258+16/24,N(AL258)&lt;=$A258+6/24),OR(AM258="",N(AM258)&lt;=$A258+6/24)),1,0)))</f>
        <v/>
      </c>
      <c r="AR258" s="26" t="str">
        <f aca="false">IF($A258="","",IF(INDEX(Muster!$C$10:$BF$10,1,MOD($A258-Einstellungen!$C$6,Einstellungen!$C$7)+1)="","-",INDEX(Muster!$C$10:$BF$10,1,MOD($A258-Einstellungen!$C$6,Einstellungen!$C$7)+1)))</f>
        <v>-</v>
      </c>
      <c r="AS258" s="27" t="n">
        <f aca="false">IF($A258="","",IFERROR(VLOOKUP(AR258,Schichten!$A$5:$G$24,6,FALSE()),0))</f>
        <v>0</v>
      </c>
      <c r="AT258" s="27" t="n">
        <f aca="false">IF($A258="","",IFERROR(VLOOKUP(AR258,Schichten!$A$5:$G$24,7,FALSE()),0))</f>
        <v>0</v>
      </c>
      <c r="AU258" s="28" t="str">
        <f aca="false">IF($A258="","",IF(N(AS258)=0,"",$A258+VLOOKUP(AR258,Schichten!$A$5:$G$24,3,FALSE())))</f>
        <v/>
      </c>
      <c r="AV258" s="28" t="str">
        <f aca="false">IF(AU258="","",$A258+VLOOKUP(AR258,Schichten!$A$5:$G$24,4,FALSE())+IF(VLOOKUP(AR258,Schichten!$A$5:$G$24,4,FALSE())&lt;=VLOOKUP(AR258,Schichten!$A$5:$G$24,3,FALSE()),1,0))</f>
        <v/>
      </c>
      <c r="AW258" s="28" t="str">
        <f aca="false">IF($A258="","",IF(N(AS257)&gt;0,AV257,AW257))</f>
        <v/>
      </c>
      <c r="AX258" s="27" t="str">
        <f aca="false">IF(OR(AU258="",AW258=""),"",(AU258-AW258)*24)</f>
        <v/>
      </c>
      <c r="AY258" s="21" t="n">
        <f aca="false">IF($A258="","",IF(N(AS258)&gt;0,N(AY257)+1,0))</f>
        <v>0</v>
      </c>
      <c r="AZ258" s="21" t="n">
        <f aca="false">IF($A258="","",IF(N(AT258)&gt;0,N(AZ257)+1,0))</f>
        <v>0</v>
      </c>
      <c r="BA258" s="21" t="str">
        <f aca="false">IF($A258="","",IF(WEEKDAY($A258,2)&lt;&gt;7,"",IF(AND(OR(AU258="",N(AU258)&gt;=$A258+16/24,N(AV258)&lt;=$A258+6/24),OR(AW258="",N(AW258)&lt;=$A258+6/24)),1,0)))</f>
        <v/>
      </c>
    </row>
    <row r="259" customFormat="false" ht="15" hidden="false" customHeight="false" outlineLevel="0" collapsed="false">
      <c r="A259" s="25" t="n">
        <f aca="false">IF(YEAR(DATE(Einstellungen!$C$4,1,1)+254)=Einstellungen!$C$4,DATE(Einstellungen!$C$4,1,1)+254,"")</f>
        <v>46642</v>
      </c>
      <c r="B259" s="26" t="str">
        <f aca="false">IF($A259="","",CHOOSE(WEEKDAY($A259,2),"Mo","Di","Mi","Do","Fr","Sa","So"))</f>
        <v>So</v>
      </c>
      <c r="C259" s="26" t="n">
        <f aca="false">IF($A259="","",MONTH($A259))</f>
        <v>9</v>
      </c>
      <c r="D259" s="26" t="str">
        <f aca="false">IF($A259="","",IF(INDEX(Muster!$C$6:$BF$6,1,MOD($A259-Einstellungen!$C$6,Einstellungen!$C$7)+1)="","-",INDEX(Muster!$C$6:$BF$6,1,MOD($A259-Einstellungen!$C$6,Einstellungen!$C$7)+1)))</f>
        <v>S</v>
      </c>
      <c r="E259" s="27" t="n">
        <f aca="false">IF($A259="","",IFERROR(VLOOKUP(D259,Schichten!$A$5:$G$24,6,FALSE()),0))</f>
        <v>8</v>
      </c>
      <c r="F259" s="27" t="n">
        <f aca="false">IF($A259="","",IFERROR(VLOOKUP(D259,Schichten!$A$5:$G$24,7,FALSE()),0))</f>
        <v>0</v>
      </c>
      <c r="G259" s="28" t="n">
        <f aca="false">IF($A259="","",IF(N(E259)=0,"",$A259+VLOOKUP(D259,Schichten!$A$5:$G$24,3,FALSE())))</f>
        <v>46642.5833333333</v>
      </c>
      <c r="H259" s="28" t="n">
        <f aca="false">IF(G259="","",$A259+VLOOKUP(D259,Schichten!$A$5:$G$24,4,FALSE())+IF(VLOOKUP(D259,Schichten!$A$5:$G$24,4,FALSE())&lt;=VLOOKUP(D259,Schichten!$A$5:$G$24,3,FALSE()),1,0))</f>
        <v>46642.9166666667</v>
      </c>
      <c r="I259" s="28" t="n">
        <f aca="false">IF($A259="","",IF(N(E258)&gt;0,H258,I258))</f>
        <v>46641.9166666667</v>
      </c>
      <c r="J259" s="27" t="n">
        <f aca="false">IF(OR(G259="",I259=""),"",(G259-I259)*24)</f>
        <v>16</v>
      </c>
      <c r="K259" s="21" t="n">
        <f aca="false">IF($A259="","",IF(N(E259)&gt;0,N(K258)+1,0))</f>
        <v>4</v>
      </c>
      <c r="L259" s="21" t="n">
        <f aca="false">IF($A259="","",IF(N(F259)&gt;0,N(L258)+1,0))</f>
        <v>0</v>
      </c>
      <c r="M259" s="21" t="n">
        <f aca="false">IF($A259="","",IF(WEEKDAY($A259,2)&lt;&gt;7,"",IF(AND(OR(G259="",N(G259)&gt;=$A259+16/24,N(H259)&lt;=$A259+6/24),OR(I259="",N(I259)&lt;=$A259+6/24)),1,0)))</f>
        <v>0</v>
      </c>
      <c r="N259" s="26" t="str">
        <f aca="false">IF($A259="","",IF(INDEX(Muster!$C$7:$BF$7,1,MOD($A259-Einstellungen!$C$6,Einstellungen!$C$7)+1)="","-",INDEX(Muster!$C$7:$BF$7,1,MOD($A259-Einstellungen!$C$6,Einstellungen!$C$7)+1)))</f>
        <v>F</v>
      </c>
      <c r="O259" s="27" t="n">
        <f aca="false">IF($A259="","",IFERROR(VLOOKUP(N259,Schichten!$A$5:$G$24,6,FALSE()),0))</f>
        <v>8</v>
      </c>
      <c r="P259" s="27" t="n">
        <f aca="false">IF($A259="","",IFERROR(VLOOKUP(N259,Schichten!$A$5:$G$24,7,FALSE()),0))</f>
        <v>0</v>
      </c>
      <c r="Q259" s="28" t="n">
        <f aca="false">IF($A259="","",IF(N(O259)=0,"",$A259+VLOOKUP(N259,Schichten!$A$5:$G$24,3,FALSE())))</f>
        <v>46642.25</v>
      </c>
      <c r="R259" s="28" t="n">
        <f aca="false">IF(Q259="","",$A259+VLOOKUP(N259,Schichten!$A$5:$G$24,4,FALSE())+IF(VLOOKUP(N259,Schichten!$A$5:$G$24,4,FALSE())&lt;=VLOOKUP(N259,Schichten!$A$5:$G$24,3,FALSE()),1,0))</f>
        <v>46642.5833333333</v>
      </c>
      <c r="S259" s="28" t="n">
        <f aca="false">IF($A259="","",IF(N(O258)&gt;0,R258,S258))</f>
        <v>46641.5833333333</v>
      </c>
      <c r="T259" s="27" t="n">
        <f aca="false">IF(OR(Q259="",S259=""),"",(Q259-S259)*24)</f>
        <v>16</v>
      </c>
      <c r="U259" s="21" t="n">
        <f aca="false">IF($A259="","",IF(N(O259)&gt;0,N(U258)+1,0))</f>
        <v>2</v>
      </c>
      <c r="V259" s="21" t="n">
        <f aca="false">IF($A259="","",IF(N(P259)&gt;0,N(V258)+1,0))</f>
        <v>0</v>
      </c>
      <c r="W259" s="21" t="n">
        <f aca="false">IF($A259="","",IF(WEEKDAY($A259,2)&lt;&gt;7,"",IF(AND(OR(Q259="",N(Q259)&gt;=$A259+16/24,N(R259)&lt;=$A259+6/24),OR(S259="",N(S259)&lt;=$A259+6/24)),1,0)))</f>
        <v>0</v>
      </c>
      <c r="X259" s="26" t="str">
        <f aca="false">IF($A259="","",IF(INDEX(Muster!$C$8:$BF$8,1,MOD($A259-Einstellungen!$C$6,Einstellungen!$C$7)+1)="","-",INDEX(Muster!$C$8:$BF$8,1,MOD($A259-Einstellungen!$C$6,Einstellungen!$C$7)+1)))</f>
        <v>-</v>
      </c>
      <c r="Y259" s="27" t="n">
        <f aca="false">IF($A259="","",IFERROR(VLOOKUP(X259,Schichten!$A$5:$G$24,6,FALSE()),0))</f>
        <v>0</v>
      </c>
      <c r="Z259" s="27" t="n">
        <f aca="false">IF($A259="","",IFERROR(VLOOKUP(X259,Schichten!$A$5:$G$24,7,FALSE()),0))</f>
        <v>0</v>
      </c>
      <c r="AA259" s="28" t="str">
        <f aca="false">IF($A259="","",IF(N(Y259)=0,"",$A259+VLOOKUP(X259,Schichten!$A$5:$G$24,3,FALSE())))</f>
        <v/>
      </c>
      <c r="AB259" s="28" t="str">
        <f aca="false">IF(AA259="","",$A259+VLOOKUP(X259,Schichten!$A$5:$G$24,4,FALSE())+IF(VLOOKUP(X259,Schichten!$A$5:$G$24,4,FALSE())&lt;=VLOOKUP(X259,Schichten!$A$5:$G$24,3,FALSE()),1,0))</f>
        <v/>
      </c>
      <c r="AC259" s="28" t="n">
        <f aca="false">IF($A259="","",IF(N(Y258)&gt;0,AB258,AC258))</f>
        <v>46641.25</v>
      </c>
      <c r="AD259" s="27" t="str">
        <f aca="false">IF(OR(AA259="",AC259=""),"",(AA259-AC259)*24)</f>
        <v/>
      </c>
      <c r="AE259" s="21" t="n">
        <f aca="false">IF($A259="","",IF(N(Y259)&gt;0,N(AE258)+1,0))</f>
        <v>0</v>
      </c>
      <c r="AF259" s="21" t="n">
        <f aca="false">IF($A259="","",IF(N(Z259)&gt;0,N(AF258)+1,0))</f>
        <v>0</v>
      </c>
      <c r="AG259" s="21" t="n">
        <f aca="false">IF($A259="","",IF(WEEKDAY($A259,2)&lt;&gt;7,"",IF(AND(OR(AA259="",N(AA259)&gt;=$A259+16/24,N(AB259)&lt;=$A259+6/24),OR(AC259="",N(AC259)&lt;=$A259+6/24)),1,0)))</f>
        <v>1</v>
      </c>
      <c r="AH259" s="26" t="str">
        <f aca="false">IF($A259="","",IF(INDEX(Muster!$C$9:$BF$9,1,MOD($A259-Einstellungen!$C$6,Einstellungen!$C$7)+1)="","-",INDEX(Muster!$C$9:$BF$9,1,MOD($A259-Einstellungen!$C$6,Einstellungen!$C$7)+1)))</f>
        <v>N</v>
      </c>
      <c r="AI259" s="27" t="n">
        <f aca="false">IF($A259="","",IFERROR(VLOOKUP(AH259,Schichten!$A$5:$G$24,6,FALSE()),0))</f>
        <v>8</v>
      </c>
      <c r="AJ259" s="27" t="n">
        <f aca="false">IF($A259="","",IFERROR(VLOOKUP(AH259,Schichten!$A$5:$G$24,7,FALSE()),0))</f>
        <v>7</v>
      </c>
      <c r="AK259" s="28" t="n">
        <f aca="false">IF($A259="","",IF(N(AI259)=0,"",$A259+VLOOKUP(AH259,Schichten!$A$5:$G$24,3,FALSE())))</f>
        <v>46642.9166666667</v>
      </c>
      <c r="AL259" s="28" t="n">
        <f aca="false">IF(AK259="","",$A259+VLOOKUP(AH259,Schichten!$A$5:$G$24,4,FALSE())+IF(VLOOKUP(AH259,Schichten!$A$5:$G$24,4,FALSE())&lt;=VLOOKUP(AH259,Schichten!$A$5:$G$24,3,FALSE()),1,0))</f>
        <v>46643.25</v>
      </c>
      <c r="AM259" s="28" t="n">
        <f aca="false">IF($A259="","",IF(N(AI258)&gt;0,AL258,AM258))</f>
        <v>46642.25</v>
      </c>
      <c r="AN259" s="27" t="n">
        <f aca="false">IF(OR(AK259="",AM259=""),"",(AK259-AM259)*24)</f>
        <v>16</v>
      </c>
      <c r="AO259" s="21" t="n">
        <f aca="false">IF($A259="","",IF(N(AI259)&gt;0,N(AO258)+1,0))</f>
        <v>6</v>
      </c>
      <c r="AP259" s="21" t="n">
        <f aca="false">IF($A259="","",IF(N(AJ259)&gt;0,N(AP258)+1,0))</f>
        <v>2</v>
      </c>
      <c r="AQ259" s="21" t="n">
        <f aca="false">IF($A259="","",IF(WEEKDAY($A259,2)&lt;&gt;7,"",IF(AND(OR(AK259="",N(AK259)&gt;=$A259+16/24,N(AL259)&lt;=$A259+6/24),OR(AM259="",N(AM259)&lt;=$A259+6/24)),1,0)))</f>
        <v>1</v>
      </c>
      <c r="AR259" s="26" t="str">
        <f aca="false">IF($A259="","",IF(INDEX(Muster!$C$10:$BF$10,1,MOD($A259-Einstellungen!$C$6,Einstellungen!$C$7)+1)="","-",INDEX(Muster!$C$10:$BF$10,1,MOD($A259-Einstellungen!$C$6,Einstellungen!$C$7)+1)))</f>
        <v>-</v>
      </c>
      <c r="AS259" s="27" t="n">
        <f aca="false">IF($A259="","",IFERROR(VLOOKUP(AR259,Schichten!$A$5:$G$24,6,FALSE()),0))</f>
        <v>0</v>
      </c>
      <c r="AT259" s="27" t="n">
        <f aca="false">IF($A259="","",IFERROR(VLOOKUP(AR259,Schichten!$A$5:$G$24,7,FALSE()),0))</f>
        <v>0</v>
      </c>
      <c r="AU259" s="28" t="str">
        <f aca="false">IF($A259="","",IF(N(AS259)=0,"",$A259+VLOOKUP(AR259,Schichten!$A$5:$G$24,3,FALSE())))</f>
        <v/>
      </c>
      <c r="AV259" s="28" t="str">
        <f aca="false">IF(AU259="","",$A259+VLOOKUP(AR259,Schichten!$A$5:$G$24,4,FALSE())+IF(VLOOKUP(AR259,Schichten!$A$5:$G$24,4,FALSE())&lt;=VLOOKUP(AR259,Schichten!$A$5:$G$24,3,FALSE()),1,0))</f>
        <v/>
      </c>
      <c r="AW259" s="28" t="str">
        <f aca="false">IF($A259="","",IF(N(AS258)&gt;0,AV258,AW258))</f>
        <v/>
      </c>
      <c r="AX259" s="27" t="str">
        <f aca="false">IF(OR(AU259="",AW259=""),"",(AU259-AW259)*24)</f>
        <v/>
      </c>
      <c r="AY259" s="21" t="n">
        <f aca="false">IF($A259="","",IF(N(AS259)&gt;0,N(AY258)+1,0))</f>
        <v>0</v>
      </c>
      <c r="AZ259" s="21" t="n">
        <f aca="false">IF($A259="","",IF(N(AT259)&gt;0,N(AZ258)+1,0))</f>
        <v>0</v>
      </c>
      <c r="BA259" s="21" t="n">
        <f aca="false">IF($A259="","",IF(WEEKDAY($A259,2)&lt;&gt;7,"",IF(AND(OR(AU259="",N(AU259)&gt;=$A259+16/24,N(AV259)&lt;=$A259+6/24),OR(AW259="",N(AW259)&lt;=$A259+6/24)),1,0)))</f>
        <v>1</v>
      </c>
    </row>
    <row r="260" customFormat="false" ht="15" hidden="false" customHeight="false" outlineLevel="0" collapsed="false">
      <c r="A260" s="25" t="n">
        <f aca="false">IF(YEAR(DATE(Einstellungen!$C$4,1,1)+255)=Einstellungen!$C$4,DATE(Einstellungen!$C$4,1,1)+255,"")</f>
        <v>46643</v>
      </c>
      <c r="B260" s="26" t="str">
        <f aca="false">IF($A260="","",CHOOSE(WEEKDAY($A260,2),"Mo","Di","Mi","Do","Fr","Sa","So"))</f>
        <v>Mo</v>
      </c>
      <c r="C260" s="26" t="n">
        <f aca="false">IF($A260="","",MONTH($A260))</f>
        <v>9</v>
      </c>
      <c r="D260" s="26" t="str">
        <f aca="false">IF($A260="","",IF(INDEX(Muster!$C$6:$BF$6,1,MOD($A260-Einstellungen!$C$6,Einstellungen!$C$7)+1)="","-",INDEX(Muster!$C$6:$BF$6,1,MOD($A260-Einstellungen!$C$6,Einstellungen!$C$7)+1)))</f>
        <v>N</v>
      </c>
      <c r="E260" s="27" t="n">
        <f aca="false">IF($A260="","",IFERROR(VLOOKUP(D260,Schichten!$A$5:$G$24,6,FALSE()),0))</f>
        <v>8</v>
      </c>
      <c r="F260" s="27" t="n">
        <f aca="false">IF($A260="","",IFERROR(VLOOKUP(D260,Schichten!$A$5:$G$24,7,FALSE()),0))</f>
        <v>7</v>
      </c>
      <c r="G260" s="28" t="n">
        <f aca="false">IF($A260="","",IF(N(E260)=0,"",$A260+VLOOKUP(D260,Schichten!$A$5:$G$24,3,FALSE())))</f>
        <v>46643.9166666667</v>
      </c>
      <c r="H260" s="28" t="n">
        <f aca="false">IF(G260="","",$A260+VLOOKUP(D260,Schichten!$A$5:$G$24,4,FALSE())+IF(VLOOKUP(D260,Schichten!$A$5:$G$24,4,FALSE())&lt;=VLOOKUP(D260,Schichten!$A$5:$G$24,3,FALSE()),1,0))</f>
        <v>46644.25</v>
      </c>
      <c r="I260" s="28" t="n">
        <f aca="false">IF($A260="","",IF(N(E259)&gt;0,H259,I259))</f>
        <v>46642.9166666667</v>
      </c>
      <c r="J260" s="27" t="n">
        <f aca="false">IF(OR(G260="",I260=""),"",(G260-I260)*24)</f>
        <v>24</v>
      </c>
      <c r="K260" s="21" t="n">
        <f aca="false">IF($A260="","",IF(N(E260)&gt;0,N(K259)+1,0))</f>
        <v>5</v>
      </c>
      <c r="L260" s="21" t="n">
        <f aca="false">IF($A260="","",IF(N(F260)&gt;0,N(L259)+1,0))</f>
        <v>1</v>
      </c>
      <c r="M260" s="21" t="str">
        <f aca="false">IF($A260="","",IF(WEEKDAY($A260,2)&lt;&gt;7,"",IF(AND(OR(G260="",N(G260)&gt;=$A260+16/24,N(H260)&lt;=$A260+6/24),OR(I260="",N(I260)&lt;=$A260+6/24)),1,0)))</f>
        <v/>
      </c>
      <c r="N260" s="26" t="str">
        <f aca="false">IF($A260="","",IF(INDEX(Muster!$C$7:$BF$7,1,MOD($A260-Einstellungen!$C$6,Einstellungen!$C$7)+1)="","-",INDEX(Muster!$C$7:$BF$7,1,MOD($A260-Einstellungen!$C$6,Einstellungen!$C$7)+1)))</f>
        <v>S</v>
      </c>
      <c r="O260" s="27" t="n">
        <f aca="false">IF($A260="","",IFERROR(VLOOKUP(N260,Schichten!$A$5:$G$24,6,FALSE()),0))</f>
        <v>8</v>
      </c>
      <c r="P260" s="27" t="n">
        <f aca="false">IF($A260="","",IFERROR(VLOOKUP(N260,Schichten!$A$5:$G$24,7,FALSE()),0))</f>
        <v>0</v>
      </c>
      <c r="Q260" s="28" t="n">
        <f aca="false">IF($A260="","",IF(N(O260)=0,"",$A260+VLOOKUP(N260,Schichten!$A$5:$G$24,3,FALSE())))</f>
        <v>46643.5833333333</v>
      </c>
      <c r="R260" s="28" t="n">
        <f aca="false">IF(Q260="","",$A260+VLOOKUP(N260,Schichten!$A$5:$G$24,4,FALSE())+IF(VLOOKUP(N260,Schichten!$A$5:$G$24,4,FALSE())&lt;=VLOOKUP(N260,Schichten!$A$5:$G$24,3,FALSE()),1,0))</f>
        <v>46643.9166666667</v>
      </c>
      <c r="S260" s="28" t="n">
        <f aca="false">IF($A260="","",IF(N(O259)&gt;0,R259,S259))</f>
        <v>46642.5833333333</v>
      </c>
      <c r="T260" s="27" t="n">
        <f aca="false">IF(OR(Q260="",S260=""),"",(Q260-S260)*24)</f>
        <v>24</v>
      </c>
      <c r="U260" s="21" t="n">
        <f aca="false">IF($A260="","",IF(N(O260)&gt;0,N(U259)+1,0))</f>
        <v>3</v>
      </c>
      <c r="V260" s="21" t="n">
        <f aca="false">IF($A260="","",IF(N(P260)&gt;0,N(V259)+1,0))</f>
        <v>0</v>
      </c>
      <c r="W260" s="21" t="str">
        <f aca="false">IF($A260="","",IF(WEEKDAY($A260,2)&lt;&gt;7,"",IF(AND(OR(Q260="",N(Q260)&gt;=$A260+16/24,N(R260)&lt;=$A260+6/24),OR(S260="",N(S260)&lt;=$A260+6/24)),1,0)))</f>
        <v/>
      </c>
      <c r="X260" s="26" t="str">
        <f aca="false">IF($A260="","",IF(INDEX(Muster!$C$8:$BF$8,1,MOD($A260-Einstellungen!$C$6,Einstellungen!$C$7)+1)="","-",INDEX(Muster!$C$8:$BF$8,1,MOD($A260-Einstellungen!$C$6,Einstellungen!$C$7)+1)))</f>
        <v>F</v>
      </c>
      <c r="Y260" s="27" t="n">
        <f aca="false">IF($A260="","",IFERROR(VLOOKUP(X260,Schichten!$A$5:$G$24,6,FALSE()),0))</f>
        <v>8</v>
      </c>
      <c r="Z260" s="27" t="n">
        <f aca="false">IF($A260="","",IFERROR(VLOOKUP(X260,Schichten!$A$5:$G$24,7,FALSE()),0))</f>
        <v>0</v>
      </c>
      <c r="AA260" s="28" t="n">
        <f aca="false">IF($A260="","",IF(N(Y260)=0,"",$A260+VLOOKUP(X260,Schichten!$A$5:$G$24,3,FALSE())))</f>
        <v>46643.25</v>
      </c>
      <c r="AB260" s="28" t="n">
        <f aca="false">IF(AA260="","",$A260+VLOOKUP(X260,Schichten!$A$5:$G$24,4,FALSE())+IF(VLOOKUP(X260,Schichten!$A$5:$G$24,4,FALSE())&lt;=VLOOKUP(X260,Schichten!$A$5:$G$24,3,FALSE()),1,0))</f>
        <v>46643.5833333333</v>
      </c>
      <c r="AC260" s="28" t="n">
        <f aca="false">IF($A260="","",IF(N(Y259)&gt;0,AB259,AC259))</f>
        <v>46641.25</v>
      </c>
      <c r="AD260" s="27" t="n">
        <f aca="false">IF(OR(AA260="",AC260=""),"",(AA260-AC260)*24)</f>
        <v>48</v>
      </c>
      <c r="AE260" s="21" t="n">
        <f aca="false">IF($A260="","",IF(N(Y260)&gt;0,N(AE259)+1,0))</f>
        <v>1</v>
      </c>
      <c r="AF260" s="21" t="n">
        <f aca="false">IF($A260="","",IF(N(Z260)&gt;0,N(AF259)+1,0))</f>
        <v>0</v>
      </c>
      <c r="AG260" s="21" t="str">
        <f aca="false">IF($A260="","",IF(WEEKDAY($A260,2)&lt;&gt;7,"",IF(AND(OR(AA260="",N(AA260)&gt;=$A260+16/24,N(AB260)&lt;=$A260+6/24),OR(AC260="",N(AC260)&lt;=$A260+6/24)),1,0)))</f>
        <v/>
      </c>
      <c r="AH260" s="26" t="str">
        <f aca="false">IF($A260="","",IF(INDEX(Muster!$C$9:$BF$9,1,MOD($A260-Einstellungen!$C$6,Einstellungen!$C$7)+1)="","-",INDEX(Muster!$C$9:$BF$9,1,MOD($A260-Einstellungen!$C$6,Einstellungen!$C$7)+1)))</f>
        <v>-</v>
      </c>
      <c r="AI260" s="27" t="n">
        <f aca="false">IF($A260="","",IFERROR(VLOOKUP(AH260,Schichten!$A$5:$G$24,6,FALSE()),0))</f>
        <v>0</v>
      </c>
      <c r="AJ260" s="27" t="n">
        <f aca="false">IF($A260="","",IFERROR(VLOOKUP(AH260,Schichten!$A$5:$G$24,7,FALSE()),0))</f>
        <v>0</v>
      </c>
      <c r="AK260" s="28" t="str">
        <f aca="false">IF($A260="","",IF(N(AI260)=0,"",$A260+VLOOKUP(AH260,Schichten!$A$5:$G$24,3,FALSE())))</f>
        <v/>
      </c>
      <c r="AL260" s="28" t="str">
        <f aca="false">IF(AK260="","",$A260+VLOOKUP(AH260,Schichten!$A$5:$G$24,4,FALSE())+IF(VLOOKUP(AH260,Schichten!$A$5:$G$24,4,FALSE())&lt;=VLOOKUP(AH260,Schichten!$A$5:$G$24,3,FALSE()),1,0))</f>
        <v/>
      </c>
      <c r="AM260" s="28" t="n">
        <f aca="false">IF($A260="","",IF(N(AI259)&gt;0,AL259,AM259))</f>
        <v>46643.25</v>
      </c>
      <c r="AN260" s="27" t="str">
        <f aca="false">IF(OR(AK260="",AM260=""),"",(AK260-AM260)*24)</f>
        <v/>
      </c>
      <c r="AO260" s="21" t="n">
        <f aca="false">IF($A260="","",IF(N(AI260)&gt;0,N(AO259)+1,0))</f>
        <v>0</v>
      </c>
      <c r="AP260" s="21" t="n">
        <f aca="false">IF($A260="","",IF(N(AJ260)&gt;0,N(AP259)+1,0))</f>
        <v>0</v>
      </c>
      <c r="AQ260" s="21" t="str">
        <f aca="false">IF($A260="","",IF(WEEKDAY($A260,2)&lt;&gt;7,"",IF(AND(OR(AK260="",N(AK260)&gt;=$A260+16/24,N(AL260)&lt;=$A260+6/24),OR(AM260="",N(AM260)&lt;=$A260+6/24)),1,0)))</f>
        <v/>
      </c>
      <c r="AR260" s="26" t="str">
        <f aca="false">IF($A260="","",IF(INDEX(Muster!$C$10:$BF$10,1,MOD($A260-Einstellungen!$C$6,Einstellungen!$C$7)+1)="","-",INDEX(Muster!$C$10:$BF$10,1,MOD($A260-Einstellungen!$C$6,Einstellungen!$C$7)+1)))</f>
        <v>-</v>
      </c>
      <c r="AS260" s="27" t="n">
        <f aca="false">IF($A260="","",IFERROR(VLOOKUP(AR260,Schichten!$A$5:$G$24,6,FALSE()),0))</f>
        <v>0</v>
      </c>
      <c r="AT260" s="27" t="n">
        <f aca="false">IF($A260="","",IFERROR(VLOOKUP(AR260,Schichten!$A$5:$G$24,7,FALSE()),0))</f>
        <v>0</v>
      </c>
      <c r="AU260" s="28" t="str">
        <f aca="false">IF($A260="","",IF(N(AS260)=0,"",$A260+VLOOKUP(AR260,Schichten!$A$5:$G$24,3,FALSE())))</f>
        <v/>
      </c>
      <c r="AV260" s="28" t="str">
        <f aca="false">IF(AU260="","",$A260+VLOOKUP(AR260,Schichten!$A$5:$G$24,4,FALSE())+IF(VLOOKUP(AR260,Schichten!$A$5:$G$24,4,FALSE())&lt;=VLOOKUP(AR260,Schichten!$A$5:$G$24,3,FALSE()),1,0))</f>
        <v/>
      </c>
      <c r="AW260" s="28" t="str">
        <f aca="false">IF($A260="","",IF(N(AS259)&gt;0,AV259,AW259))</f>
        <v/>
      </c>
      <c r="AX260" s="27" t="str">
        <f aca="false">IF(OR(AU260="",AW260=""),"",(AU260-AW260)*24)</f>
        <v/>
      </c>
      <c r="AY260" s="21" t="n">
        <f aca="false">IF($A260="","",IF(N(AS260)&gt;0,N(AY259)+1,0))</f>
        <v>0</v>
      </c>
      <c r="AZ260" s="21" t="n">
        <f aca="false">IF($A260="","",IF(N(AT260)&gt;0,N(AZ259)+1,0))</f>
        <v>0</v>
      </c>
      <c r="BA260" s="21" t="str">
        <f aca="false">IF($A260="","",IF(WEEKDAY($A260,2)&lt;&gt;7,"",IF(AND(OR(AU260="",N(AU260)&gt;=$A260+16/24,N(AV260)&lt;=$A260+6/24),OR(AW260="",N(AW260)&lt;=$A260+6/24)),1,0)))</f>
        <v/>
      </c>
    </row>
    <row r="261" customFormat="false" ht="15" hidden="false" customHeight="false" outlineLevel="0" collapsed="false">
      <c r="A261" s="25" t="n">
        <f aca="false">IF(YEAR(DATE(Einstellungen!$C$4,1,1)+256)=Einstellungen!$C$4,DATE(Einstellungen!$C$4,1,1)+256,"")</f>
        <v>46644</v>
      </c>
      <c r="B261" s="26" t="str">
        <f aca="false">IF($A261="","",CHOOSE(WEEKDAY($A261,2),"Mo","Di","Mi","Do","Fr","Sa","So"))</f>
        <v>Di</v>
      </c>
      <c r="C261" s="26" t="n">
        <f aca="false">IF($A261="","",MONTH($A261))</f>
        <v>9</v>
      </c>
      <c r="D261" s="26" t="str">
        <f aca="false">IF($A261="","",IF(INDEX(Muster!$C$6:$BF$6,1,MOD($A261-Einstellungen!$C$6,Einstellungen!$C$7)+1)="","-",INDEX(Muster!$C$6:$BF$6,1,MOD($A261-Einstellungen!$C$6,Einstellungen!$C$7)+1)))</f>
        <v>N</v>
      </c>
      <c r="E261" s="27" t="n">
        <f aca="false">IF($A261="","",IFERROR(VLOOKUP(D261,Schichten!$A$5:$G$24,6,FALSE()),0))</f>
        <v>8</v>
      </c>
      <c r="F261" s="27" t="n">
        <f aca="false">IF($A261="","",IFERROR(VLOOKUP(D261,Schichten!$A$5:$G$24,7,FALSE()),0))</f>
        <v>7</v>
      </c>
      <c r="G261" s="28" t="n">
        <f aca="false">IF($A261="","",IF(N(E261)=0,"",$A261+VLOOKUP(D261,Schichten!$A$5:$G$24,3,FALSE())))</f>
        <v>46644.9166666667</v>
      </c>
      <c r="H261" s="28" t="n">
        <f aca="false">IF(G261="","",$A261+VLOOKUP(D261,Schichten!$A$5:$G$24,4,FALSE())+IF(VLOOKUP(D261,Schichten!$A$5:$G$24,4,FALSE())&lt;=VLOOKUP(D261,Schichten!$A$5:$G$24,3,FALSE()),1,0))</f>
        <v>46645.25</v>
      </c>
      <c r="I261" s="28" t="n">
        <f aca="false">IF($A261="","",IF(N(E260)&gt;0,H260,I260))</f>
        <v>46644.25</v>
      </c>
      <c r="J261" s="27" t="n">
        <f aca="false">IF(OR(G261="",I261=""),"",(G261-I261)*24)</f>
        <v>16</v>
      </c>
      <c r="K261" s="21" t="n">
        <f aca="false">IF($A261="","",IF(N(E261)&gt;0,N(K260)+1,0))</f>
        <v>6</v>
      </c>
      <c r="L261" s="21" t="n">
        <f aca="false">IF($A261="","",IF(N(F261)&gt;0,N(L260)+1,0))</f>
        <v>2</v>
      </c>
      <c r="M261" s="21" t="str">
        <f aca="false">IF($A261="","",IF(WEEKDAY($A261,2)&lt;&gt;7,"",IF(AND(OR(G261="",N(G261)&gt;=$A261+16/24,N(H261)&lt;=$A261+6/24),OR(I261="",N(I261)&lt;=$A261+6/24)),1,0)))</f>
        <v/>
      </c>
      <c r="N261" s="26" t="str">
        <f aca="false">IF($A261="","",IF(INDEX(Muster!$C$7:$BF$7,1,MOD($A261-Einstellungen!$C$6,Einstellungen!$C$7)+1)="","-",INDEX(Muster!$C$7:$BF$7,1,MOD($A261-Einstellungen!$C$6,Einstellungen!$C$7)+1)))</f>
        <v>S</v>
      </c>
      <c r="O261" s="27" t="n">
        <f aca="false">IF($A261="","",IFERROR(VLOOKUP(N261,Schichten!$A$5:$G$24,6,FALSE()),0))</f>
        <v>8</v>
      </c>
      <c r="P261" s="27" t="n">
        <f aca="false">IF($A261="","",IFERROR(VLOOKUP(N261,Schichten!$A$5:$G$24,7,FALSE()),0))</f>
        <v>0</v>
      </c>
      <c r="Q261" s="28" t="n">
        <f aca="false">IF($A261="","",IF(N(O261)=0,"",$A261+VLOOKUP(N261,Schichten!$A$5:$G$24,3,FALSE())))</f>
        <v>46644.5833333333</v>
      </c>
      <c r="R261" s="28" t="n">
        <f aca="false">IF(Q261="","",$A261+VLOOKUP(N261,Schichten!$A$5:$G$24,4,FALSE())+IF(VLOOKUP(N261,Schichten!$A$5:$G$24,4,FALSE())&lt;=VLOOKUP(N261,Schichten!$A$5:$G$24,3,FALSE()),1,0))</f>
        <v>46644.9166666667</v>
      </c>
      <c r="S261" s="28" t="n">
        <f aca="false">IF($A261="","",IF(N(O260)&gt;0,R260,S260))</f>
        <v>46643.9166666667</v>
      </c>
      <c r="T261" s="27" t="n">
        <f aca="false">IF(OR(Q261="",S261=""),"",(Q261-S261)*24)</f>
        <v>16</v>
      </c>
      <c r="U261" s="21" t="n">
        <f aca="false">IF($A261="","",IF(N(O261)&gt;0,N(U260)+1,0))</f>
        <v>4</v>
      </c>
      <c r="V261" s="21" t="n">
        <f aca="false">IF($A261="","",IF(N(P261)&gt;0,N(V260)+1,0))</f>
        <v>0</v>
      </c>
      <c r="W261" s="21" t="str">
        <f aca="false">IF($A261="","",IF(WEEKDAY($A261,2)&lt;&gt;7,"",IF(AND(OR(Q261="",N(Q261)&gt;=$A261+16/24,N(R261)&lt;=$A261+6/24),OR(S261="",N(S261)&lt;=$A261+6/24)),1,0)))</f>
        <v/>
      </c>
      <c r="X261" s="26" t="str">
        <f aca="false">IF($A261="","",IF(INDEX(Muster!$C$8:$BF$8,1,MOD($A261-Einstellungen!$C$6,Einstellungen!$C$7)+1)="","-",INDEX(Muster!$C$8:$BF$8,1,MOD($A261-Einstellungen!$C$6,Einstellungen!$C$7)+1)))</f>
        <v>F</v>
      </c>
      <c r="Y261" s="27" t="n">
        <f aca="false">IF($A261="","",IFERROR(VLOOKUP(X261,Schichten!$A$5:$G$24,6,FALSE()),0))</f>
        <v>8</v>
      </c>
      <c r="Z261" s="27" t="n">
        <f aca="false">IF($A261="","",IFERROR(VLOOKUP(X261,Schichten!$A$5:$G$24,7,FALSE()),0))</f>
        <v>0</v>
      </c>
      <c r="AA261" s="28" t="n">
        <f aca="false">IF($A261="","",IF(N(Y261)=0,"",$A261+VLOOKUP(X261,Schichten!$A$5:$G$24,3,FALSE())))</f>
        <v>46644.25</v>
      </c>
      <c r="AB261" s="28" t="n">
        <f aca="false">IF(AA261="","",$A261+VLOOKUP(X261,Schichten!$A$5:$G$24,4,FALSE())+IF(VLOOKUP(X261,Schichten!$A$5:$G$24,4,FALSE())&lt;=VLOOKUP(X261,Schichten!$A$5:$G$24,3,FALSE()),1,0))</f>
        <v>46644.5833333333</v>
      </c>
      <c r="AC261" s="28" t="n">
        <f aca="false">IF($A261="","",IF(N(Y260)&gt;0,AB260,AC260))</f>
        <v>46643.5833333333</v>
      </c>
      <c r="AD261" s="27" t="n">
        <f aca="false">IF(OR(AA261="",AC261=""),"",(AA261-AC261)*24)</f>
        <v>16</v>
      </c>
      <c r="AE261" s="21" t="n">
        <f aca="false">IF($A261="","",IF(N(Y261)&gt;0,N(AE260)+1,0))</f>
        <v>2</v>
      </c>
      <c r="AF261" s="21" t="n">
        <f aca="false">IF($A261="","",IF(N(Z261)&gt;0,N(AF260)+1,0))</f>
        <v>0</v>
      </c>
      <c r="AG261" s="21" t="str">
        <f aca="false">IF($A261="","",IF(WEEKDAY($A261,2)&lt;&gt;7,"",IF(AND(OR(AA261="",N(AA261)&gt;=$A261+16/24,N(AB261)&lt;=$A261+6/24),OR(AC261="",N(AC261)&lt;=$A261+6/24)),1,0)))</f>
        <v/>
      </c>
      <c r="AH261" s="26" t="str">
        <f aca="false">IF($A261="","",IF(INDEX(Muster!$C$9:$BF$9,1,MOD($A261-Einstellungen!$C$6,Einstellungen!$C$7)+1)="","-",INDEX(Muster!$C$9:$BF$9,1,MOD($A261-Einstellungen!$C$6,Einstellungen!$C$7)+1)))</f>
        <v>-</v>
      </c>
      <c r="AI261" s="27" t="n">
        <f aca="false">IF($A261="","",IFERROR(VLOOKUP(AH261,Schichten!$A$5:$G$24,6,FALSE()),0))</f>
        <v>0</v>
      </c>
      <c r="AJ261" s="27" t="n">
        <f aca="false">IF($A261="","",IFERROR(VLOOKUP(AH261,Schichten!$A$5:$G$24,7,FALSE()),0))</f>
        <v>0</v>
      </c>
      <c r="AK261" s="28" t="str">
        <f aca="false">IF($A261="","",IF(N(AI261)=0,"",$A261+VLOOKUP(AH261,Schichten!$A$5:$G$24,3,FALSE())))</f>
        <v/>
      </c>
      <c r="AL261" s="28" t="str">
        <f aca="false">IF(AK261="","",$A261+VLOOKUP(AH261,Schichten!$A$5:$G$24,4,FALSE())+IF(VLOOKUP(AH261,Schichten!$A$5:$G$24,4,FALSE())&lt;=VLOOKUP(AH261,Schichten!$A$5:$G$24,3,FALSE()),1,0))</f>
        <v/>
      </c>
      <c r="AM261" s="28" t="n">
        <f aca="false">IF($A261="","",IF(N(AI260)&gt;0,AL260,AM260))</f>
        <v>46643.25</v>
      </c>
      <c r="AN261" s="27" t="str">
        <f aca="false">IF(OR(AK261="",AM261=""),"",(AK261-AM261)*24)</f>
        <v/>
      </c>
      <c r="AO261" s="21" t="n">
        <f aca="false">IF($A261="","",IF(N(AI261)&gt;0,N(AO260)+1,0))</f>
        <v>0</v>
      </c>
      <c r="AP261" s="21" t="n">
        <f aca="false">IF($A261="","",IF(N(AJ261)&gt;0,N(AP260)+1,0))</f>
        <v>0</v>
      </c>
      <c r="AQ261" s="21" t="str">
        <f aca="false">IF($A261="","",IF(WEEKDAY($A261,2)&lt;&gt;7,"",IF(AND(OR(AK261="",N(AK261)&gt;=$A261+16/24,N(AL261)&lt;=$A261+6/24),OR(AM261="",N(AM261)&lt;=$A261+6/24)),1,0)))</f>
        <v/>
      </c>
      <c r="AR261" s="26" t="str">
        <f aca="false">IF($A261="","",IF(INDEX(Muster!$C$10:$BF$10,1,MOD($A261-Einstellungen!$C$6,Einstellungen!$C$7)+1)="","-",INDEX(Muster!$C$10:$BF$10,1,MOD($A261-Einstellungen!$C$6,Einstellungen!$C$7)+1)))</f>
        <v>-</v>
      </c>
      <c r="AS261" s="27" t="n">
        <f aca="false">IF($A261="","",IFERROR(VLOOKUP(AR261,Schichten!$A$5:$G$24,6,FALSE()),0))</f>
        <v>0</v>
      </c>
      <c r="AT261" s="27" t="n">
        <f aca="false">IF($A261="","",IFERROR(VLOOKUP(AR261,Schichten!$A$5:$G$24,7,FALSE()),0))</f>
        <v>0</v>
      </c>
      <c r="AU261" s="28" t="str">
        <f aca="false">IF($A261="","",IF(N(AS261)=0,"",$A261+VLOOKUP(AR261,Schichten!$A$5:$G$24,3,FALSE())))</f>
        <v/>
      </c>
      <c r="AV261" s="28" t="str">
        <f aca="false">IF(AU261="","",$A261+VLOOKUP(AR261,Schichten!$A$5:$G$24,4,FALSE())+IF(VLOOKUP(AR261,Schichten!$A$5:$G$24,4,FALSE())&lt;=VLOOKUP(AR261,Schichten!$A$5:$G$24,3,FALSE()),1,0))</f>
        <v/>
      </c>
      <c r="AW261" s="28" t="str">
        <f aca="false">IF($A261="","",IF(N(AS260)&gt;0,AV260,AW260))</f>
        <v/>
      </c>
      <c r="AX261" s="27" t="str">
        <f aca="false">IF(OR(AU261="",AW261=""),"",(AU261-AW261)*24)</f>
        <v/>
      </c>
      <c r="AY261" s="21" t="n">
        <f aca="false">IF($A261="","",IF(N(AS261)&gt;0,N(AY260)+1,0))</f>
        <v>0</v>
      </c>
      <c r="AZ261" s="21" t="n">
        <f aca="false">IF($A261="","",IF(N(AT261)&gt;0,N(AZ260)+1,0))</f>
        <v>0</v>
      </c>
      <c r="BA261" s="21" t="str">
        <f aca="false">IF($A261="","",IF(WEEKDAY($A261,2)&lt;&gt;7,"",IF(AND(OR(AU261="",N(AU261)&gt;=$A261+16/24,N(AV261)&lt;=$A261+6/24),OR(AW261="",N(AW261)&lt;=$A261+6/24)),1,0)))</f>
        <v/>
      </c>
    </row>
    <row r="262" customFormat="false" ht="15" hidden="false" customHeight="false" outlineLevel="0" collapsed="false">
      <c r="A262" s="25" t="n">
        <f aca="false">IF(YEAR(DATE(Einstellungen!$C$4,1,1)+257)=Einstellungen!$C$4,DATE(Einstellungen!$C$4,1,1)+257,"")</f>
        <v>46645</v>
      </c>
      <c r="B262" s="26" t="str">
        <f aca="false">IF($A262="","",CHOOSE(WEEKDAY($A262,2),"Mo","Di","Mi","Do","Fr","Sa","So"))</f>
        <v>Mi</v>
      </c>
      <c r="C262" s="26" t="n">
        <f aca="false">IF($A262="","",MONTH($A262))</f>
        <v>9</v>
      </c>
      <c r="D262" s="26" t="str">
        <f aca="false">IF($A262="","",IF(INDEX(Muster!$C$6:$BF$6,1,MOD($A262-Einstellungen!$C$6,Einstellungen!$C$7)+1)="","-",INDEX(Muster!$C$6:$BF$6,1,MOD($A262-Einstellungen!$C$6,Einstellungen!$C$7)+1)))</f>
        <v>-</v>
      </c>
      <c r="E262" s="27" t="n">
        <f aca="false">IF($A262="","",IFERROR(VLOOKUP(D262,Schichten!$A$5:$G$24,6,FALSE()),0))</f>
        <v>0</v>
      </c>
      <c r="F262" s="27" t="n">
        <f aca="false">IF($A262="","",IFERROR(VLOOKUP(D262,Schichten!$A$5:$G$24,7,FALSE()),0))</f>
        <v>0</v>
      </c>
      <c r="G262" s="28" t="str">
        <f aca="false">IF($A262="","",IF(N(E262)=0,"",$A262+VLOOKUP(D262,Schichten!$A$5:$G$24,3,FALSE())))</f>
        <v/>
      </c>
      <c r="H262" s="28" t="str">
        <f aca="false">IF(G262="","",$A262+VLOOKUP(D262,Schichten!$A$5:$G$24,4,FALSE())+IF(VLOOKUP(D262,Schichten!$A$5:$G$24,4,FALSE())&lt;=VLOOKUP(D262,Schichten!$A$5:$G$24,3,FALSE()),1,0))</f>
        <v/>
      </c>
      <c r="I262" s="28" t="n">
        <f aca="false">IF($A262="","",IF(N(E261)&gt;0,H261,I261))</f>
        <v>46645.25</v>
      </c>
      <c r="J262" s="27" t="str">
        <f aca="false">IF(OR(G262="",I262=""),"",(G262-I262)*24)</f>
        <v/>
      </c>
      <c r="K262" s="21" t="n">
        <f aca="false">IF($A262="","",IF(N(E262)&gt;0,N(K261)+1,0))</f>
        <v>0</v>
      </c>
      <c r="L262" s="21" t="n">
        <f aca="false">IF($A262="","",IF(N(F262)&gt;0,N(L261)+1,0))</f>
        <v>0</v>
      </c>
      <c r="M262" s="21" t="str">
        <f aca="false">IF($A262="","",IF(WEEKDAY($A262,2)&lt;&gt;7,"",IF(AND(OR(G262="",N(G262)&gt;=$A262+16/24,N(H262)&lt;=$A262+6/24),OR(I262="",N(I262)&lt;=$A262+6/24)),1,0)))</f>
        <v/>
      </c>
      <c r="N262" s="26" t="str">
        <f aca="false">IF($A262="","",IF(INDEX(Muster!$C$7:$BF$7,1,MOD($A262-Einstellungen!$C$6,Einstellungen!$C$7)+1)="","-",INDEX(Muster!$C$7:$BF$7,1,MOD($A262-Einstellungen!$C$6,Einstellungen!$C$7)+1)))</f>
        <v>N</v>
      </c>
      <c r="O262" s="27" t="n">
        <f aca="false">IF($A262="","",IFERROR(VLOOKUP(N262,Schichten!$A$5:$G$24,6,FALSE()),0))</f>
        <v>8</v>
      </c>
      <c r="P262" s="27" t="n">
        <f aca="false">IF($A262="","",IFERROR(VLOOKUP(N262,Schichten!$A$5:$G$24,7,FALSE()),0))</f>
        <v>7</v>
      </c>
      <c r="Q262" s="28" t="n">
        <f aca="false">IF($A262="","",IF(N(O262)=0,"",$A262+VLOOKUP(N262,Schichten!$A$5:$G$24,3,FALSE())))</f>
        <v>46645.9166666667</v>
      </c>
      <c r="R262" s="28" t="n">
        <f aca="false">IF(Q262="","",$A262+VLOOKUP(N262,Schichten!$A$5:$G$24,4,FALSE())+IF(VLOOKUP(N262,Schichten!$A$5:$G$24,4,FALSE())&lt;=VLOOKUP(N262,Schichten!$A$5:$G$24,3,FALSE()),1,0))</f>
        <v>46646.25</v>
      </c>
      <c r="S262" s="28" t="n">
        <f aca="false">IF($A262="","",IF(N(O261)&gt;0,R261,S261))</f>
        <v>46644.9166666667</v>
      </c>
      <c r="T262" s="27" t="n">
        <f aca="false">IF(OR(Q262="",S262=""),"",(Q262-S262)*24)</f>
        <v>24</v>
      </c>
      <c r="U262" s="21" t="n">
        <f aca="false">IF($A262="","",IF(N(O262)&gt;0,N(U261)+1,0))</f>
        <v>5</v>
      </c>
      <c r="V262" s="21" t="n">
        <f aca="false">IF($A262="","",IF(N(P262)&gt;0,N(V261)+1,0))</f>
        <v>1</v>
      </c>
      <c r="W262" s="21" t="str">
        <f aca="false">IF($A262="","",IF(WEEKDAY($A262,2)&lt;&gt;7,"",IF(AND(OR(Q262="",N(Q262)&gt;=$A262+16/24,N(R262)&lt;=$A262+6/24),OR(S262="",N(S262)&lt;=$A262+6/24)),1,0)))</f>
        <v/>
      </c>
      <c r="X262" s="26" t="str">
        <f aca="false">IF($A262="","",IF(INDEX(Muster!$C$8:$BF$8,1,MOD($A262-Einstellungen!$C$6,Einstellungen!$C$7)+1)="","-",INDEX(Muster!$C$8:$BF$8,1,MOD($A262-Einstellungen!$C$6,Einstellungen!$C$7)+1)))</f>
        <v>S</v>
      </c>
      <c r="Y262" s="27" t="n">
        <f aca="false">IF($A262="","",IFERROR(VLOOKUP(X262,Schichten!$A$5:$G$24,6,FALSE()),0))</f>
        <v>8</v>
      </c>
      <c r="Z262" s="27" t="n">
        <f aca="false">IF($A262="","",IFERROR(VLOOKUP(X262,Schichten!$A$5:$G$24,7,FALSE()),0))</f>
        <v>0</v>
      </c>
      <c r="AA262" s="28" t="n">
        <f aca="false">IF($A262="","",IF(N(Y262)=0,"",$A262+VLOOKUP(X262,Schichten!$A$5:$G$24,3,FALSE())))</f>
        <v>46645.5833333333</v>
      </c>
      <c r="AB262" s="28" t="n">
        <f aca="false">IF(AA262="","",$A262+VLOOKUP(X262,Schichten!$A$5:$G$24,4,FALSE())+IF(VLOOKUP(X262,Schichten!$A$5:$G$24,4,FALSE())&lt;=VLOOKUP(X262,Schichten!$A$5:$G$24,3,FALSE()),1,0))</f>
        <v>46645.9166666667</v>
      </c>
      <c r="AC262" s="28" t="n">
        <f aca="false">IF($A262="","",IF(N(Y261)&gt;0,AB261,AC261))</f>
        <v>46644.5833333333</v>
      </c>
      <c r="AD262" s="27" t="n">
        <f aca="false">IF(OR(AA262="",AC262=""),"",(AA262-AC262)*24)</f>
        <v>24</v>
      </c>
      <c r="AE262" s="21" t="n">
        <f aca="false">IF($A262="","",IF(N(Y262)&gt;0,N(AE261)+1,0))</f>
        <v>3</v>
      </c>
      <c r="AF262" s="21" t="n">
        <f aca="false">IF($A262="","",IF(N(Z262)&gt;0,N(AF261)+1,0))</f>
        <v>0</v>
      </c>
      <c r="AG262" s="21" t="str">
        <f aca="false">IF($A262="","",IF(WEEKDAY($A262,2)&lt;&gt;7,"",IF(AND(OR(AA262="",N(AA262)&gt;=$A262+16/24,N(AB262)&lt;=$A262+6/24),OR(AC262="",N(AC262)&lt;=$A262+6/24)),1,0)))</f>
        <v/>
      </c>
      <c r="AH262" s="26" t="str">
        <f aca="false">IF($A262="","",IF(INDEX(Muster!$C$9:$BF$9,1,MOD($A262-Einstellungen!$C$6,Einstellungen!$C$7)+1)="","-",INDEX(Muster!$C$9:$BF$9,1,MOD($A262-Einstellungen!$C$6,Einstellungen!$C$7)+1)))</f>
        <v>F</v>
      </c>
      <c r="AI262" s="27" t="n">
        <f aca="false">IF($A262="","",IFERROR(VLOOKUP(AH262,Schichten!$A$5:$G$24,6,FALSE()),0))</f>
        <v>8</v>
      </c>
      <c r="AJ262" s="27" t="n">
        <f aca="false">IF($A262="","",IFERROR(VLOOKUP(AH262,Schichten!$A$5:$G$24,7,FALSE()),0))</f>
        <v>0</v>
      </c>
      <c r="AK262" s="28" t="n">
        <f aca="false">IF($A262="","",IF(N(AI262)=0,"",$A262+VLOOKUP(AH262,Schichten!$A$5:$G$24,3,FALSE())))</f>
        <v>46645.25</v>
      </c>
      <c r="AL262" s="28" t="n">
        <f aca="false">IF(AK262="","",$A262+VLOOKUP(AH262,Schichten!$A$5:$G$24,4,FALSE())+IF(VLOOKUP(AH262,Schichten!$A$5:$G$24,4,FALSE())&lt;=VLOOKUP(AH262,Schichten!$A$5:$G$24,3,FALSE()),1,0))</f>
        <v>46645.5833333333</v>
      </c>
      <c r="AM262" s="28" t="n">
        <f aca="false">IF($A262="","",IF(N(AI261)&gt;0,AL261,AM261))</f>
        <v>46643.25</v>
      </c>
      <c r="AN262" s="27" t="n">
        <f aca="false">IF(OR(AK262="",AM262=""),"",(AK262-AM262)*24)</f>
        <v>48</v>
      </c>
      <c r="AO262" s="21" t="n">
        <f aca="false">IF($A262="","",IF(N(AI262)&gt;0,N(AO261)+1,0))</f>
        <v>1</v>
      </c>
      <c r="AP262" s="21" t="n">
        <f aca="false">IF($A262="","",IF(N(AJ262)&gt;0,N(AP261)+1,0))</f>
        <v>0</v>
      </c>
      <c r="AQ262" s="21" t="str">
        <f aca="false">IF($A262="","",IF(WEEKDAY($A262,2)&lt;&gt;7,"",IF(AND(OR(AK262="",N(AK262)&gt;=$A262+16/24,N(AL262)&lt;=$A262+6/24),OR(AM262="",N(AM262)&lt;=$A262+6/24)),1,0)))</f>
        <v/>
      </c>
      <c r="AR262" s="26" t="str">
        <f aca="false">IF($A262="","",IF(INDEX(Muster!$C$10:$BF$10,1,MOD($A262-Einstellungen!$C$6,Einstellungen!$C$7)+1)="","-",INDEX(Muster!$C$10:$BF$10,1,MOD($A262-Einstellungen!$C$6,Einstellungen!$C$7)+1)))</f>
        <v>-</v>
      </c>
      <c r="AS262" s="27" t="n">
        <f aca="false">IF($A262="","",IFERROR(VLOOKUP(AR262,Schichten!$A$5:$G$24,6,FALSE()),0))</f>
        <v>0</v>
      </c>
      <c r="AT262" s="27" t="n">
        <f aca="false">IF($A262="","",IFERROR(VLOOKUP(AR262,Schichten!$A$5:$G$24,7,FALSE()),0))</f>
        <v>0</v>
      </c>
      <c r="AU262" s="28" t="str">
        <f aca="false">IF($A262="","",IF(N(AS262)=0,"",$A262+VLOOKUP(AR262,Schichten!$A$5:$G$24,3,FALSE())))</f>
        <v/>
      </c>
      <c r="AV262" s="28" t="str">
        <f aca="false">IF(AU262="","",$A262+VLOOKUP(AR262,Schichten!$A$5:$G$24,4,FALSE())+IF(VLOOKUP(AR262,Schichten!$A$5:$G$24,4,FALSE())&lt;=VLOOKUP(AR262,Schichten!$A$5:$G$24,3,FALSE()),1,0))</f>
        <v/>
      </c>
      <c r="AW262" s="28" t="str">
        <f aca="false">IF($A262="","",IF(N(AS261)&gt;0,AV261,AW261))</f>
        <v/>
      </c>
      <c r="AX262" s="27" t="str">
        <f aca="false">IF(OR(AU262="",AW262=""),"",(AU262-AW262)*24)</f>
        <v/>
      </c>
      <c r="AY262" s="21" t="n">
        <f aca="false">IF($A262="","",IF(N(AS262)&gt;0,N(AY261)+1,0))</f>
        <v>0</v>
      </c>
      <c r="AZ262" s="21" t="n">
        <f aca="false">IF($A262="","",IF(N(AT262)&gt;0,N(AZ261)+1,0))</f>
        <v>0</v>
      </c>
      <c r="BA262" s="21" t="str">
        <f aca="false">IF($A262="","",IF(WEEKDAY($A262,2)&lt;&gt;7,"",IF(AND(OR(AU262="",N(AU262)&gt;=$A262+16/24,N(AV262)&lt;=$A262+6/24),OR(AW262="",N(AW262)&lt;=$A262+6/24)),1,0)))</f>
        <v/>
      </c>
    </row>
    <row r="263" customFormat="false" ht="15" hidden="false" customHeight="false" outlineLevel="0" collapsed="false">
      <c r="A263" s="25" t="n">
        <f aca="false">IF(YEAR(DATE(Einstellungen!$C$4,1,1)+258)=Einstellungen!$C$4,DATE(Einstellungen!$C$4,1,1)+258,"")</f>
        <v>46646</v>
      </c>
      <c r="B263" s="26" t="str">
        <f aca="false">IF($A263="","",CHOOSE(WEEKDAY($A263,2),"Mo","Di","Mi","Do","Fr","Sa","So"))</f>
        <v>Do</v>
      </c>
      <c r="C263" s="26" t="n">
        <f aca="false">IF($A263="","",MONTH($A263))</f>
        <v>9</v>
      </c>
      <c r="D263" s="26" t="str">
        <f aca="false">IF($A263="","",IF(INDEX(Muster!$C$6:$BF$6,1,MOD($A263-Einstellungen!$C$6,Einstellungen!$C$7)+1)="","-",INDEX(Muster!$C$6:$BF$6,1,MOD($A263-Einstellungen!$C$6,Einstellungen!$C$7)+1)))</f>
        <v>-</v>
      </c>
      <c r="E263" s="27" t="n">
        <f aca="false">IF($A263="","",IFERROR(VLOOKUP(D263,Schichten!$A$5:$G$24,6,FALSE()),0))</f>
        <v>0</v>
      </c>
      <c r="F263" s="27" t="n">
        <f aca="false">IF($A263="","",IFERROR(VLOOKUP(D263,Schichten!$A$5:$G$24,7,FALSE()),0))</f>
        <v>0</v>
      </c>
      <c r="G263" s="28" t="str">
        <f aca="false">IF($A263="","",IF(N(E263)=0,"",$A263+VLOOKUP(D263,Schichten!$A$5:$G$24,3,FALSE())))</f>
        <v/>
      </c>
      <c r="H263" s="28" t="str">
        <f aca="false">IF(G263="","",$A263+VLOOKUP(D263,Schichten!$A$5:$G$24,4,FALSE())+IF(VLOOKUP(D263,Schichten!$A$5:$G$24,4,FALSE())&lt;=VLOOKUP(D263,Schichten!$A$5:$G$24,3,FALSE()),1,0))</f>
        <v/>
      </c>
      <c r="I263" s="28" t="n">
        <f aca="false">IF($A263="","",IF(N(E262)&gt;0,H262,I262))</f>
        <v>46645.25</v>
      </c>
      <c r="J263" s="27" t="str">
        <f aca="false">IF(OR(G263="",I263=""),"",(G263-I263)*24)</f>
        <v/>
      </c>
      <c r="K263" s="21" t="n">
        <f aca="false">IF($A263="","",IF(N(E263)&gt;0,N(K262)+1,0))</f>
        <v>0</v>
      </c>
      <c r="L263" s="21" t="n">
        <f aca="false">IF($A263="","",IF(N(F263)&gt;0,N(L262)+1,0))</f>
        <v>0</v>
      </c>
      <c r="M263" s="21" t="str">
        <f aca="false">IF($A263="","",IF(WEEKDAY($A263,2)&lt;&gt;7,"",IF(AND(OR(G263="",N(G263)&gt;=$A263+16/24,N(H263)&lt;=$A263+6/24),OR(I263="",N(I263)&lt;=$A263+6/24)),1,0)))</f>
        <v/>
      </c>
      <c r="N263" s="26" t="str">
        <f aca="false">IF($A263="","",IF(INDEX(Muster!$C$7:$BF$7,1,MOD($A263-Einstellungen!$C$6,Einstellungen!$C$7)+1)="","-",INDEX(Muster!$C$7:$BF$7,1,MOD($A263-Einstellungen!$C$6,Einstellungen!$C$7)+1)))</f>
        <v>N</v>
      </c>
      <c r="O263" s="27" t="n">
        <f aca="false">IF($A263="","",IFERROR(VLOOKUP(N263,Schichten!$A$5:$G$24,6,FALSE()),0))</f>
        <v>8</v>
      </c>
      <c r="P263" s="27" t="n">
        <f aca="false">IF($A263="","",IFERROR(VLOOKUP(N263,Schichten!$A$5:$G$24,7,FALSE()),0))</f>
        <v>7</v>
      </c>
      <c r="Q263" s="28" t="n">
        <f aca="false">IF($A263="","",IF(N(O263)=0,"",$A263+VLOOKUP(N263,Schichten!$A$5:$G$24,3,FALSE())))</f>
        <v>46646.9166666667</v>
      </c>
      <c r="R263" s="28" t="n">
        <f aca="false">IF(Q263="","",$A263+VLOOKUP(N263,Schichten!$A$5:$G$24,4,FALSE())+IF(VLOOKUP(N263,Schichten!$A$5:$G$24,4,FALSE())&lt;=VLOOKUP(N263,Schichten!$A$5:$G$24,3,FALSE()),1,0))</f>
        <v>46647.25</v>
      </c>
      <c r="S263" s="28" t="n">
        <f aca="false">IF($A263="","",IF(N(O262)&gt;0,R262,S262))</f>
        <v>46646.25</v>
      </c>
      <c r="T263" s="27" t="n">
        <f aca="false">IF(OR(Q263="",S263=""),"",(Q263-S263)*24)</f>
        <v>16</v>
      </c>
      <c r="U263" s="21" t="n">
        <f aca="false">IF($A263="","",IF(N(O263)&gt;0,N(U262)+1,0))</f>
        <v>6</v>
      </c>
      <c r="V263" s="21" t="n">
        <f aca="false">IF($A263="","",IF(N(P263)&gt;0,N(V262)+1,0))</f>
        <v>2</v>
      </c>
      <c r="W263" s="21" t="str">
        <f aca="false">IF($A263="","",IF(WEEKDAY($A263,2)&lt;&gt;7,"",IF(AND(OR(Q263="",N(Q263)&gt;=$A263+16/24,N(R263)&lt;=$A263+6/24),OR(S263="",N(S263)&lt;=$A263+6/24)),1,0)))</f>
        <v/>
      </c>
      <c r="X263" s="26" t="str">
        <f aca="false">IF($A263="","",IF(INDEX(Muster!$C$8:$BF$8,1,MOD($A263-Einstellungen!$C$6,Einstellungen!$C$7)+1)="","-",INDEX(Muster!$C$8:$BF$8,1,MOD($A263-Einstellungen!$C$6,Einstellungen!$C$7)+1)))</f>
        <v>S</v>
      </c>
      <c r="Y263" s="27" t="n">
        <f aca="false">IF($A263="","",IFERROR(VLOOKUP(X263,Schichten!$A$5:$G$24,6,FALSE()),0))</f>
        <v>8</v>
      </c>
      <c r="Z263" s="27" t="n">
        <f aca="false">IF($A263="","",IFERROR(VLOOKUP(X263,Schichten!$A$5:$G$24,7,FALSE()),0))</f>
        <v>0</v>
      </c>
      <c r="AA263" s="28" t="n">
        <f aca="false">IF($A263="","",IF(N(Y263)=0,"",$A263+VLOOKUP(X263,Schichten!$A$5:$G$24,3,FALSE())))</f>
        <v>46646.5833333333</v>
      </c>
      <c r="AB263" s="28" t="n">
        <f aca="false">IF(AA263="","",$A263+VLOOKUP(X263,Schichten!$A$5:$G$24,4,FALSE())+IF(VLOOKUP(X263,Schichten!$A$5:$G$24,4,FALSE())&lt;=VLOOKUP(X263,Schichten!$A$5:$G$24,3,FALSE()),1,0))</f>
        <v>46646.9166666667</v>
      </c>
      <c r="AC263" s="28" t="n">
        <f aca="false">IF($A263="","",IF(N(Y262)&gt;0,AB262,AC262))</f>
        <v>46645.9166666667</v>
      </c>
      <c r="AD263" s="27" t="n">
        <f aca="false">IF(OR(AA263="",AC263=""),"",(AA263-AC263)*24)</f>
        <v>16</v>
      </c>
      <c r="AE263" s="21" t="n">
        <f aca="false">IF($A263="","",IF(N(Y263)&gt;0,N(AE262)+1,0))</f>
        <v>4</v>
      </c>
      <c r="AF263" s="21" t="n">
        <f aca="false">IF($A263="","",IF(N(Z263)&gt;0,N(AF262)+1,0))</f>
        <v>0</v>
      </c>
      <c r="AG263" s="21" t="str">
        <f aca="false">IF($A263="","",IF(WEEKDAY($A263,2)&lt;&gt;7,"",IF(AND(OR(AA263="",N(AA263)&gt;=$A263+16/24,N(AB263)&lt;=$A263+6/24),OR(AC263="",N(AC263)&lt;=$A263+6/24)),1,0)))</f>
        <v/>
      </c>
      <c r="AH263" s="26" t="str">
        <f aca="false">IF($A263="","",IF(INDEX(Muster!$C$9:$BF$9,1,MOD($A263-Einstellungen!$C$6,Einstellungen!$C$7)+1)="","-",INDEX(Muster!$C$9:$BF$9,1,MOD($A263-Einstellungen!$C$6,Einstellungen!$C$7)+1)))</f>
        <v>F</v>
      </c>
      <c r="AI263" s="27" t="n">
        <f aca="false">IF($A263="","",IFERROR(VLOOKUP(AH263,Schichten!$A$5:$G$24,6,FALSE()),0))</f>
        <v>8</v>
      </c>
      <c r="AJ263" s="27" t="n">
        <f aca="false">IF($A263="","",IFERROR(VLOOKUP(AH263,Schichten!$A$5:$G$24,7,FALSE()),0))</f>
        <v>0</v>
      </c>
      <c r="AK263" s="28" t="n">
        <f aca="false">IF($A263="","",IF(N(AI263)=0,"",$A263+VLOOKUP(AH263,Schichten!$A$5:$G$24,3,FALSE())))</f>
        <v>46646.25</v>
      </c>
      <c r="AL263" s="28" t="n">
        <f aca="false">IF(AK263="","",$A263+VLOOKUP(AH263,Schichten!$A$5:$G$24,4,FALSE())+IF(VLOOKUP(AH263,Schichten!$A$5:$G$24,4,FALSE())&lt;=VLOOKUP(AH263,Schichten!$A$5:$G$24,3,FALSE()),1,0))</f>
        <v>46646.5833333333</v>
      </c>
      <c r="AM263" s="28" t="n">
        <f aca="false">IF($A263="","",IF(N(AI262)&gt;0,AL262,AM262))</f>
        <v>46645.5833333333</v>
      </c>
      <c r="AN263" s="27" t="n">
        <f aca="false">IF(OR(AK263="",AM263=""),"",(AK263-AM263)*24)</f>
        <v>16</v>
      </c>
      <c r="AO263" s="21" t="n">
        <f aca="false">IF($A263="","",IF(N(AI263)&gt;0,N(AO262)+1,0))</f>
        <v>2</v>
      </c>
      <c r="AP263" s="21" t="n">
        <f aca="false">IF($A263="","",IF(N(AJ263)&gt;0,N(AP262)+1,0))</f>
        <v>0</v>
      </c>
      <c r="AQ263" s="21" t="str">
        <f aca="false">IF($A263="","",IF(WEEKDAY($A263,2)&lt;&gt;7,"",IF(AND(OR(AK263="",N(AK263)&gt;=$A263+16/24,N(AL263)&lt;=$A263+6/24),OR(AM263="",N(AM263)&lt;=$A263+6/24)),1,0)))</f>
        <v/>
      </c>
      <c r="AR263" s="26" t="str">
        <f aca="false">IF($A263="","",IF(INDEX(Muster!$C$10:$BF$10,1,MOD($A263-Einstellungen!$C$6,Einstellungen!$C$7)+1)="","-",INDEX(Muster!$C$10:$BF$10,1,MOD($A263-Einstellungen!$C$6,Einstellungen!$C$7)+1)))</f>
        <v>-</v>
      </c>
      <c r="AS263" s="27" t="n">
        <f aca="false">IF($A263="","",IFERROR(VLOOKUP(AR263,Schichten!$A$5:$G$24,6,FALSE()),0))</f>
        <v>0</v>
      </c>
      <c r="AT263" s="27" t="n">
        <f aca="false">IF($A263="","",IFERROR(VLOOKUP(AR263,Schichten!$A$5:$G$24,7,FALSE()),0))</f>
        <v>0</v>
      </c>
      <c r="AU263" s="28" t="str">
        <f aca="false">IF($A263="","",IF(N(AS263)=0,"",$A263+VLOOKUP(AR263,Schichten!$A$5:$G$24,3,FALSE())))</f>
        <v/>
      </c>
      <c r="AV263" s="28" t="str">
        <f aca="false">IF(AU263="","",$A263+VLOOKUP(AR263,Schichten!$A$5:$G$24,4,FALSE())+IF(VLOOKUP(AR263,Schichten!$A$5:$G$24,4,FALSE())&lt;=VLOOKUP(AR263,Schichten!$A$5:$G$24,3,FALSE()),1,0))</f>
        <v/>
      </c>
      <c r="AW263" s="28" t="str">
        <f aca="false">IF($A263="","",IF(N(AS262)&gt;0,AV262,AW262))</f>
        <v/>
      </c>
      <c r="AX263" s="27" t="str">
        <f aca="false">IF(OR(AU263="",AW263=""),"",(AU263-AW263)*24)</f>
        <v/>
      </c>
      <c r="AY263" s="21" t="n">
        <f aca="false">IF($A263="","",IF(N(AS263)&gt;0,N(AY262)+1,0))</f>
        <v>0</v>
      </c>
      <c r="AZ263" s="21" t="n">
        <f aca="false">IF($A263="","",IF(N(AT263)&gt;0,N(AZ262)+1,0))</f>
        <v>0</v>
      </c>
      <c r="BA263" s="21" t="str">
        <f aca="false">IF($A263="","",IF(WEEKDAY($A263,2)&lt;&gt;7,"",IF(AND(OR(AU263="",N(AU263)&gt;=$A263+16/24,N(AV263)&lt;=$A263+6/24),OR(AW263="",N(AW263)&lt;=$A263+6/24)),1,0)))</f>
        <v/>
      </c>
    </row>
    <row r="264" customFormat="false" ht="15" hidden="false" customHeight="false" outlineLevel="0" collapsed="false">
      <c r="A264" s="25" t="n">
        <f aca="false">IF(YEAR(DATE(Einstellungen!$C$4,1,1)+259)=Einstellungen!$C$4,DATE(Einstellungen!$C$4,1,1)+259,"")</f>
        <v>46647</v>
      </c>
      <c r="B264" s="26" t="str">
        <f aca="false">IF($A264="","",CHOOSE(WEEKDAY($A264,2),"Mo","Di","Mi","Do","Fr","Sa","So"))</f>
        <v>Fr</v>
      </c>
      <c r="C264" s="26" t="n">
        <f aca="false">IF($A264="","",MONTH($A264))</f>
        <v>9</v>
      </c>
      <c r="D264" s="26" t="str">
        <f aca="false">IF($A264="","",IF(INDEX(Muster!$C$6:$BF$6,1,MOD($A264-Einstellungen!$C$6,Einstellungen!$C$7)+1)="","-",INDEX(Muster!$C$6:$BF$6,1,MOD($A264-Einstellungen!$C$6,Einstellungen!$C$7)+1)))</f>
        <v>F</v>
      </c>
      <c r="E264" s="27" t="n">
        <f aca="false">IF($A264="","",IFERROR(VLOOKUP(D264,Schichten!$A$5:$G$24,6,FALSE()),0))</f>
        <v>8</v>
      </c>
      <c r="F264" s="27" t="n">
        <f aca="false">IF($A264="","",IFERROR(VLOOKUP(D264,Schichten!$A$5:$G$24,7,FALSE()),0))</f>
        <v>0</v>
      </c>
      <c r="G264" s="28" t="n">
        <f aca="false">IF($A264="","",IF(N(E264)=0,"",$A264+VLOOKUP(D264,Schichten!$A$5:$G$24,3,FALSE())))</f>
        <v>46647.25</v>
      </c>
      <c r="H264" s="28" t="n">
        <f aca="false">IF(G264="","",$A264+VLOOKUP(D264,Schichten!$A$5:$G$24,4,FALSE())+IF(VLOOKUP(D264,Schichten!$A$5:$G$24,4,FALSE())&lt;=VLOOKUP(D264,Schichten!$A$5:$G$24,3,FALSE()),1,0))</f>
        <v>46647.5833333333</v>
      </c>
      <c r="I264" s="28" t="n">
        <f aca="false">IF($A264="","",IF(N(E263)&gt;0,H263,I263))</f>
        <v>46645.25</v>
      </c>
      <c r="J264" s="27" t="n">
        <f aca="false">IF(OR(G264="",I264=""),"",(G264-I264)*24)</f>
        <v>48</v>
      </c>
      <c r="K264" s="21" t="n">
        <f aca="false">IF($A264="","",IF(N(E264)&gt;0,N(K263)+1,0))</f>
        <v>1</v>
      </c>
      <c r="L264" s="21" t="n">
        <f aca="false">IF($A264="","",IF(N(F264)&gt;0,N(L263)+1,0))</f>
        <v>0</v>
      </c>
      <c r="M264" s="21" t="str">
        <f aca="false">IF($A264="","",IF(WEEKDAY($A264,2)&lt;&gt;7,"",IF(AND(OR(G264="",N(G264)&gt;=$A264+16/24,N(H264)&lt;=$A264+6/24),OR(I264="",N(I264)&lt;=$A264+6/24)),1,0)))</f>
        <v/>
      </c>
      <c r="N264" s="26" t="str">
        <f aca="false">IF($A264="","",IF(INDEX(Muster!$C$7:$BF$7,1,MOD($A264-Einstellungen!$C$6,Einstellungen!$C$7)+1)="","-",INDEX(Muster!$C$7:$BF$7,1,MOD($A264-Einstellungen!$C$6,Einstellungen!$C$7)+1)))</f>
        <v>-</v>
      </c>
      <c r="O264" s="27" t="n">
        <f aca="false">IF($A264="","",IFERROR(VLOOKUP(N264,Schichten!$A$5:$G$24,6,FALSE()),0))</f>
        <v>0</v>
      </c>
      <c r="P264" s="27" t="n">
        <f aca="false">IF($A264="","",IFERROR(VLOOKUP(N264,Schichten!$A$5:$G$24,7,FALSE()),0))</f>
        <v>0</v>
      </c>
      <c r="Q264" s="28" t="str">
        <f aca="false">IF($A264="","",IF(N(O264)=0,"",$A264+VLOOKUP(N264,Schichten!$A$5:$G$24,3,FALSE())))</f>
        <v/>
      </c>
      <c r="R264" s="28" t="str">
        <f aca="false">IF(Q264="","",$A264+VLOOKUP(N264,Schichten!$A$5:$G$24,4,FALSE())+IF(VLOOKUP(N264,Schichten!$A$5:$G$24,4,FALSE())&lt;=VLOOKUP(N264,Schichten!$A$5:$G$24,3,FALSE()),1,0))</f>
        <v/>
      </c>
      <c r="S264" s="28" t="n">
        <f aca="false">IF($A264="","",IF(N(O263)&gt;0,R263,S263))</f>
        <v>46647.25</v>
      </c>
      <c r="T264" s="27" t="str">
        <f aca="false">IF(OR(Q264="",S264=""),"",(Q264-S264)*24)</f>
        <v/>
      </c>
      <c r="U264" s="21" t="n">
        <f aca="false">IF($A264="","",IF(N(O264)&gt;0,N(U263)+1,0))</f>
        <v>0</v>
      </c>
      <c r="V264" s="21" t="n">
        <f aca="false">IF($A264="","",IF(N(P264)&gt;0,N(V263)+1,0))</f>
        <v>0</v>
      </c>
      <c r="W264" s="21" t="str">
        <f aca="false">IF($A264="","",IF(WEEKDAY($A264,2)&lt;&gt;7,"",IF(AND(OR(Q264="",N(Q264)&gt;=$A264+16/24,N(R264)&lt;=$A264+6/24),OR(S264="",N(S264)&lt;=$A264+6/24)),1,0)))</f>
        <v/>
      </c>
      <c r="X264" s="26" t="str">
        <f aca="false">IF($A264="","",IF(INDEX(Muster!$C$8:$BF$8,1,MOD($A264-Einstellungen!$C$6,Einstellungen!$C$7)+1)="","-",INDEX(Muster!$C$8:$BF$8,1,MOD($A264-Einstellungen!$C$6,Einstellungen!$C$7)+1)))</f>
        <v>N</v>
      </c>
      <c r="Y264" s="27" t="n">
        <f aca="false">IF($A264="","",IFERROR(VLOOKUP(X264,Schichten!$A$5:$G$24,6,FALSE()),0))</f>
        <v>8</v>
      </c>
      <c r="Z264" s="27" t="n">
        <f aca="false">IF($A264="","",IFERROR(VLOOKUP(X264,Schichten!$A$5:$G$24,7,FALSE()),0))</f>
        <v>7</v>
      </c>
      <c r="AA264" s="28" t="n">
        <f aca="false">IF($A264="","",IF(N(Y264)=0,"",$A264+VLOOKUP(X264,Schichten!$A$5:$G$24,3,FALSE())))</f>
        <v>46647.9166666667</v>
      </c>
      <c r="AB264" s="28" t="n">
        <f aca="false">IF(AA264="","",$A264+VLOOKUP(X264,Schichten!$A$5:$G$24,4,FALSE())+IF(VLOOKUP(X264,Schichten!$A$5:$G$24,4,FALSE())&lt;=VLOOKUP(X264,Schichten!$A$5:$G$24,3,FALSE()),1,0))</f>
        <v>46648.25</v>
      </c>
      <c r="AC264" s="28" t="n">
        <f aca="false">IF($A264="","",IF(N(Y263)&gt;0,AB263,AC263))</f>
        <v>46646.9166666667</v>
      </c>
      <c r="AD264" s="27" t="n">
        <f aca="false">IF(OR(AA264="",AC264=""),"",(AA264-AC264)*24)</f>
        <v>24</v>
      </c>
      <c r="AE264" s="21" t="n">
        <f aca="false">IF($A264="","",IF(N(Y264)&gt;0,N(AE263)+1,0))</f>
        <v>5</v>
      </c>
      <c r="AF264" s="21" t="n">
        <f aca="false">IF($A264="","",IF(N(Z264)&gt;0,N(AF263)+1,0))</f>
        <v>1</v>
      </c>
      <c r="AG264" s="21" t="str">
        <f aca="false">IF($A264="","",IF(WEEKDAY($A264,2)&lt;&gt;7,"",IF(AND(OR(AA264="",N(AA264)&gt;=$A264+16/24,N(AB264)&lt;=$A264+6/24),OR(AC264="",N(AC264)&lt;=$A264+6/24)),1,0)))</f>
        <v/>
      </c>
      <c r="AH264" s="26" t="str">
        <f aca="false">IF($A264="","",IF(INDEX(Muster!$C$9:$BF$9,1,MOD($A264-Einstellungen!$C$6,Einstellungen!$C$7)+1)="","-",INDEX(Muster!$C$9:$BF$9,1,MOD($A264-Einstellungen!$C$6,Einstellungen!$C$7)+1)))</f>
        <v>S</v>
      </c>
      <c r="AI264" s="27" t="n">
        <f aca="false">IF($A264="","",IFERROR(VLOOKUP(AH264,Schichten!$A$5:$G$24,6,FALSE()),0))</f>
        <v>8</v>
      </c>
      <c r="AJ264" s="27" t="n">
        <f aca="false">IF($A264="","",IFERROR(VLOOKUP(AH264,Schichten!$A$5:$G$24,7,FALSE()),0))</f>
        <v>0</v>
      </c>
      <c r="AK264" s="28" t="n">
        <f aca="false">IF($A264="","",IF(N(AI264)=0,"",$A264+VLOOKUP(AH264,Schichten!$A$5:$G$24,3,FALSE())))</f>
        <v>46647.5833333333</v>
      </c>
      <c r="AL264" s="28" t="n">
        <f aca="false">IF(AK264="","",$A264+VLOOKUP(AH264,Schichten!$A$5:$G$24,4,FALSE())+IF(VLOOKUP(AH264,Schichten!$A$5:$G$24,4,FALSE())&lt;=VLOOKUP(AH264,Schichten!$A$5:$G$24,3,FALSE()),1,0))</f>
        <v>46647.9166666667</v>
      </c>
      <c r="AM264" s="28" t="n">
        <f aca="false">IF($A264="","",IF(N(AI263)&gt;0,AL263,AM263))</f>
        <v>46646.5833333333</v>
      </c>
      <c r="AN264" s="27" t="n">
        <f aca="false">IF(OR(AK264="",AM264=""),"",(AK264-AM264)*24)</f>
        <v>24</v>
      </c>
      <c r="AO264" s="21" t="n">
        <f aca="false">IF($A264="","",IF(N(AI264)&gt;0,N(AO263)+1,0))</f>
        <v>3</v>
      </c>
      <c r="AP264" s="21" t="n">
        <f aca="false">IF($A264="","",IF(N(AJ264)&gt;0,N(AP263)+1,0))</f>
        <v>0</v>
      </c>
      <c r="AQ264" s="21" t="str">
        <f aca="false">IF($A264="","",IF(WEEKDAY($A264,2)&lt;&gt;7,"",IF(AND(OR(AK264="",N(AK264)&gt;=$A264+16/24,N(AL264)&lt;=$A264+6/24),OR(AM264="",N(AM264)&lt;=$A264+6/24)),1,0)))</f>
        <v/>
      </c>
      <c r="AR264" s="26" t="str">
        <f aca="false">IF($A264="","",IF(INDEX(Muster!$C$10:$BF$10,1,MOD($A264-Einstellungen!$C$6,Einstellungen!$C$7)+1)="","-",INDEX(Muster!$C$10:$BF$10,1,MOD($A264-Einstellungen!$C$6,Einstellungen!$C$7)+1)))</f>
        <v>-</v>
      </c>
      <c r="AS264" s="27" t="n">
        <f aca="false">IF($A264="","",IFERROR(VLOOKUP(AR264,Schichten!$A$5:$G$24,6,FALSE()),0))</f>
        <v>0</v>
      </c>
      <c r="AT264" s="27" t="n">
        <f aca="false">IF($A264="","",IFERROR(VLOOKUP(AR264,Schichten!$A$5:$G$24,7,FALSE()),0))</f>
        <v>0</v>
      </c>
      <c r="AU264" s="28" t="str">
        <f aca="false">IF($A264="","",IF(N(AS264)=0,"",$A264+VLOOKUP(AR264,Schichten!$A$5:$G$24,3,FALSE())))</f>
        <v/>
      </c>
      <c r="AV264" s="28" t="str">
        <f aca="false">IF(AU264="","",$A264+VLOOKUP(AR264,Schichten!$A$5:$G$24,4,FALSE())+IF(VLOOKUP(AR264,Schichten!$A$5:$G$24,4,FALSE())&lt;=VLOOKUP(AR264,Schichten!$A$5:$G$24,3,FALSE()),1,0))</f>
        <v/>
      </c>
      <c r="AW264" s="28" t="str">
        <f aca="false">IF($A264="","",IF(N(AS263)&gt;0,AV263,AW263))</f>
        <v/>
      </c>
      <c r="AX264" s="27" t="str">
        <f aca="false">IF(OR(AU264="",AW264=""),"",(AU264-AW264)*24)</f>
        <v/>
      </c>
      <c r="AY264" s="21" t="n">
        <f aca="false">IF($A264="","",IF(N(AS264)&gt;0,N(AY263)+1,0))</f>
        <v>0</v>
      </c>
      <c r="AZ264" s="21" t="n">
        <f aca="false">IF($A264="","",IF(N(AT264)&gt;0,N(AZ263)+1,0))</f>
        <v>0</v>
      </c>
      <c r="BA264" s="21" t="str">
        <f aca="false">IF($A264="","",IF(WEEKDAY($A264,2)&lt;&gt;7,"",IF(AND(OR(AU264="",N(AU264)&gt;=$A264+16/24,N(AV264)&lt;=$A264+6/24),OR(AW264="",N(AW264)&lt;=$A264+6/24)),1,0)))</f>
        <v/>
      </c>
    </row>
    <row r="265" customFormat="false" ht="15" hidden="false" customHeight="false" outlineLevel="0" collapsed="false">
      <c r="A265" s="25" t="n">
        <f aca="false">IF(YEAR(DATE(Einstellungen!$C$4,1,1)+260)=Einstellungen!$C$4,DATE(Einstellungen!$C$4,1,1)+260,"")</f>
        <v>46648</v>
      </c>
      <c r="B265" s="26" t="str">
        <f aca="false">IF($A265="","",CHOOSE(WEEKDAY($A265,2),"Mo","Di","Mi","Do","Fr","Sa","So"))</f>
        <v>Sa</v>
      </c>
      <c r="C265" s="26" t="n">
        <f aca="false">IF($A265="","",MONTH($A265))</f>
        <v>9</v>
      </c>
      <c r="D265" s="26" t="str">
        <f aca="false">IF($A265="","",IF(INDEX(Muster!$C$6:$BF$6,1,MOD($A265-Einstellungen!$C$6,Einstellungen!$C$7)+1)="","-",INDEX(Muster!$C$6:$BF$6,1,MOD($A265-Einstellungen!$C$6,Einstellungen!$C$7)+1)))</f>
        <v>F</v>
      </c>
      <c r="E265" s="27" t="n">
        <f aca="false">IF($A265="","",IFERROR(VLOOKUP(D265,Schichten!$A$5:$G$24,6,FALSE()),0))</f>
        <v>8</v>
      </c>
      <c r="F265" s="27" t="n">
        <f aca="false">IF($A265="","",IFERROR(VLOOKUP(D265,Schichten!$A$5:$G$24,7,FALSE()),0))</f>
        <v>0</v>
      </c>
      <c r="G265" s="28" t="n">
        <f aca="false">IF($A265="","",IF(N(E265)=0,"",$A265+VLOOKUP(D265,Schichten!$A$5:$G$24,3,FALSE())))</f>
        <v>46648.25</v>
      </c>
      <c r="H265" s="28" t="n">
        <f aca="false">IF(G265="","",$A265+VLOOKUP(D265,Schichten!$A$5:$G$24,4,FALSE())+IF(VLOOKUP(D265,Schichten!$A$5:$G$24,4,FALSE())&lt;=VLOOKUP(D265,Schichten!$A$5:$G$24,3,FALSE()),1,0))</f>
        <v>46648.5833333333</v>
      </c>
      <c r="I265" s="28" t="n">
        <f aca="false">IF($A265="","",IF(N(E264)&gt;0,H264,I264))</f>
        <v>46647.5833333333</v>
      </c>
      <c r="J265" s="27" t="n">
        <f aca="false">IF(OR(G265="",I265=""),"",(G265-I265)*24)</f>
        <v>16</v>
      </c>
      <c r="K265" s="21" t="n">
        <f aca="false">IF($A265="","",IF(N(E265)&gt;0,N(K264)+1,0))</f>
        <v>2</v>
      </c>
      <c r="L265" s="21" t="n">
        <f aca="false">IF($A265="","",IF(N(F265)&gt;0,N(L264)+1,0))</f>
        <v>0</v>
      </c>
      <c r="M265" s="21" t="str">
        <f aca="false">IF($A265="","",IF(WEEKDAY($A265,2)&lt;&gt;7,"",IF(AND(OR(G265="",N(G265)&gt;=$A265+16/24,N(H265)&lt;=$A265+6/24),OR(I265="",N(I265)&lt;=$A265+6/24)),1,0)))</f>
        <v/>
      </c>
      <c r="N265" s="26" t="str">
        <f aca="false">IF($A265="","",IF(INDEX(Muster!$C$7:$BF$7,1,MOD($A265-Einstellungen!$C$6,Einstellungen!$C$7)+1)="","-",INDEX(Muster!$C$7:$BF$7,1,MOD($A265-Einstellungen!$C$6,Einstellungen!$C$7)+1)))</f>
        <v>-</v>
      </c>
      <c r="O265" s="27" t="n">
        <f aca="false">IF($A265="","",IFERROR(VLOOKUP(N265,Schichten!$A$5:$G$24,6,FALSE()),0))</f>
        <v>0</v>
      </c>
      <c r="P265" s="27" t="n">
        <f aca="false">IF($A265="","",IFERROR(VLOOKUP(N265,Schichten!$A$5:$G$24,7,FALSE()),0))</f>
        <v>0</v>
      </c>
      <c r="Q265" s="28" t="str">
        <f aca="false">IF($A265="","",IF(N(O265)=0,"",$A265+VLOOKUP(N265,Schichten!$A$5:$G$24,3,FALSE())))</f>
        <v/>
      </c>
      <c r="R265" s="28" t="str">
        <f aca="false">IF(Q265="","",$A265+VLOOKUP(N265,Schichten!$A$5:$G$24,4,FALSE())+IF(VLOOKUP(N265,Schichten!$A$5:$G$24,4,FALSE())&lt;=VLOOKUP(N265,Schichten!$A$5:$G$24,3,FALSE()),1,0))</f>
        <v/>
      </c>
      <c r="S265" s="28" t="n">
        <f aca="false">IF($A265="","",IF(N(O264)&gt;0,R264,S264))</f>
        <v>46647.25</v>
      </c>
      <c r="T265" s="27" t="str">
        <f aca="false">IF(OR(Q265="",S265=""),"",(Q265-S265)*24)</f>
        <v/>
      </c>
      <c r="U265" s="21" t="n">
        <f aca="false">IF($A265="","",IF(N(O265)&gt;0,N(U264)+1,0))</f>
        <v>0</v>
      </c>
      <c r="V265" s="21" t="n">
        <f aca="false">IF($A265="","",IF(N(P265)&gt;0,N(V264)+1,0))</f>
        <v>0</v>
      </c>
      <c r="W265" s="21" t="str">
        <f aca="false">IF($A265="","",IF(WEEKDAY($A265,2)&lt;&gt;7,"",IF(AND(OR(Q265="",N(Q265)&gt;=$A265+16/24,N(R265)&lt;=$A265+6/24),OR(S265="",N(S265)&lt;=$A265+6/24)),1,0)))</f>
        <v/>
      </c>
      <c r="X265" s="26" t="str">
        <f aca="false">IF($A265="","",IF(INDEX(Muster!$C$8:$BF$8,1,MOD($A265-Einstellungen!$C$6,Einstellungen!$C$7)+1)="","-",INDEX(Muster!$C$8:$BF$8,1,MOD($A265-Einstellungen!$C$6,Einstellungen!$C$7)+1)))</f>
        <v>N</v>
      </c>
      <c r="Y265" s="27" t="n">
        <f aca="false">IF($A265="","",IFERROR(VLOOKUP(X265,Schichten!$A$5:$G$24,6,FALSE()),0))</f>
        <v>8</v>
      </c>
      <c r="Z265" s="27" t="n">
        <f aca="false">IF($A265="","",IFERROR(VLOOKUP(X265,Schichten!$A$5:$G$24,7,FALSE()),0))</f>
        <v>7</v>
      </c>
      <c r="AA265" s="28" t="n">
        <f aca="false">IF($A265="","",IF(N(Y265)=0,"",$A265+VLOOKUP(X265,Schichten!$A$5:$G$24,3,FALSE())))</f>
        <v>46648.9166666667</v>
      </c>
      <c r="AB265" s="28" t="n">
        <f aca="false">IF(AA265="","",$A265+VLOOKUP(X265,Schichten!$A$5:$G$24,4,FALSE())+IF(VLOOKUP(X265,Schichten!$A$5:$G$24,4,FALSE())&lt;=VLOOKUP(X265,Schichten!$A$5:$G$24,3,FALSE()),1,0))</f>
        <v>46649.25</v>
      </c>
      <c r="AC265" s="28" t="n">
        <f aca="false">IF($A265="","",IF(N(Y264)&gt;0,AB264,AC264))</f>
        <v>46648.25</v>
      </c>
      <c r="AD265" s="27" t="n">
        <f aca="false">IF(OR(AA265="",AC265=""),"",(AA265-AC265)*24)</f>
        <v>16</v>
      </c>
      <c r="AE265" s="21" t="n">
        <f aca="false">IF($A265="","",IF(N(Y265)&gt;0,N(AE264)+1,0))</f>
        <v>6</v>
      </c>
      <c r="AF265" s="21" t="n">
        <f aca="false">IF($A265="","",IF(N(Z265)&gt;0,N(AF264)+1,0))</f>
        <v>2</v>
      </c>
      <c r="AG265" s="21" t="str">
        <f aca="false">IF($A265="","",IF(WEEKDAY($A265,2)&lt;&gt;7,"",IF(AND(OR(AA265="",N(AA265)&gt;=$A265+16/24,N(AB265)&lt;=$A265+6/24),OR(AC265="",N(AC265)&lt;=$A265+6/24)),1,0)))</f>
        <v/>
      </c>
      <c r="AH265" s="26" t="str">
        <f aca="false">IF($A265="","",IF(INDEX(Muster!$C$9:$BF$9,1,MOD($A265-Einstellungen!$C$6,Einstellungen!$C$7)+1)="","-",INDEX(Muster!$C$9:$BF$9,1,MOD($A265-Einstellungen!$C$6,Einstellungen!$C$7)+1)))</f>
        <v>S</v>
      </c>
      <c r="AI265" s="27" t="n">
        <f aca="false">IF($A265="","",IFERROR(VLOOKUP(AH265,Schichten!$A$5:$G$24,6,FALSE()),0))</f>
        <v>8</v>
      </c>
      <c r="AJ265" s="27" t="n">
        <f aca="false">IF($A265="","",IFERROR(VLOOKUP(AH265,Schichten!$A$5:$G$24,7,FALSE()),0))</f>
        <v>0</v>
      </c>
      <c r="AK265" s="28" t="n">
        <f aca="false">IF($A265="","",IF(N(AI265)=0,"",$A265+VLOOKUP(AH265,Schichten!$A$5:$G$24,3,FALSE())))</f>
        <v>46648.5833333333</v>
      </c>
      <c r="AL265" s="28" t="n">
        <f aca="false">IF(AK265="","",$A265+VLOOKUP(AH265,Schichten!$A$5:$G$24,4,FALSE())+IF(VLOOKUP(AH265,Schichten!$A$5:$G$24,4,FALSE())&lt;=VLOOKUP(AH265,Schichten!$A$5:$G$24,3,FALSE()),1,0))</f>
        <v>46648.9166666667</v>
      </c>
      <c r="AM265" s="28" t="n">
        <f aca="false">IF($A265="","",IF(N(AI264)&gt;0,AL264,AM264))</f>
        <v>46647.9166666667</v>
      </c>
      <c r="AN265" s="27" t="n">
        <f aca="false">IF(OR(AK265="",AM265=""),"",(AK265-AM265)*24)</f>
        <v>16</v>
      </c>
      <c r="AO265" s="21" t="n">
        <f aca="false">IF($A265="","",IF(N(AI265)&gt;0,N(AO264)+1,0))</f>
        <v>4</v>
      </c>
      <c r="AP265" s="21" t="n">
        <f aca="false">IF($A265="","",IF(N(AJ265)&gt;0,N(AP264)+1,0))</f>
        <v>0</v>
      </c>
      <c r="AQ265" s="21" t="str">
        <f aca="false">IF($A265="","",IF(WEEKDAY($A265,2)&lt;&gt;7,"",IF(AND(OR(AK265="",N(AK265)&gt;=$A265+16/24,N(AL265)&lt;=$A265+6/24),OR(AM265="",N(AM265)&lt;=$A265+6/24)),1,0)))</f>
        <v/>
      </c>
      <c r="AR265" s="26" t="str">
        <f aca="false">IF($A265="","",IF(INDEX(Muster!$C$10:$BF$10,1,MOD($A265-Einstellungen!$C$6,Einstellungen!$C$7)+1)="","-",INDEX(Muster!$C$10:$BF$10,1,MOD($A265-Einstellungen!$C$6,Einstellungen!$C$7)+1)))</f>
        <v>-</v>
      </c>
      <c r="AS265" s="27" t="n">
        <f aca="false">IF($A265="","",IFERROR(VLOOKUP(AR265,Schichten!$A$5:$G$24,6,FALSE()),0))</f>
        <v>0</v>
      </c>
      <c r="AT265" s="27" t="n">
        <f aca="false">IF($A265="","",IFERROR(VLOOKUP(AR265,Schichten!$A$5:$G$24,7,FALSE()),0))</f>
        <v>0</v>
      </c>
      <c r="AU265" s="28" t="str">
        <f aca="false">IF($A265="","",IF(N(AS265)=0,"",$A265+VLOOKUP(AR265,Schichten!$A$5:$G$24,3,FALSE())))</f>
        <v/>
      </c>
      <c r="AV265" s="28" t="str">
        <f aca="false">IF(AU265="","",$A265+VLOOKUP(AR265,Schichten!$A$5:$G$24,4,FALSE())+IF(VLOOKUP(AR265,Schichten!$A$5:$G$24,4,FALSE())&lt;=VLOOKUP(AR265,Schichten!$A$5:$G$24,3,FALSE()),1,0))</f>
        <v/>
      </c>
      <c r="AW265" s="28" t="str">
        <f aca="false">IF($A265="","",IF(N(AS264)&gt;0,AV264,AW264))</f>
        <v/>
      </c>
      <c r="AX265" s="27" t="str">
        <f aca="false">IF(OR(AU265="",AW265=""),"",(AU265-AW265)*24)</f>
        <v/>
      </c>
      <c r="AY265" s="21" t="n">
        <f aca="false">IF($A265="","",IF(N(AS265)&gt;0,N(AY264)+1,0))</f>
        <v>0</v>
      </c>
      <c r="AZ265" s="21" t="n">
        <f aca="false">IF($A265="","",IF(N(AT265)&gt;0,N(AZ264)+1,0))</f>
        <v>0</v>
      </c>
      <c r="BA265" s="21" t="str">
        <f aca="false">IF($A265="","",IF(WEEKDAY($A265,2)&lt;&gt;7,"",IF(AND(OR(AU265="",N(AU265)&gt;=$A265+16/24,N(AV265)&lt;=$A265+6/24),OR(AW265="",N(AW265)&lt;=$A265+6/24)),1,0)))</f>
        <v/>
      </c>
    </row>
    <row r="266" customFormat="false" ht="15" hidden="false" customHeight="false" outlineLevel="0" collapsed="false">
      <c r="A266" s="25" t="n">
        <f aca="false">IF(YEAR(DATE(Einstellungen!$C$4,1,1)+261)=Einstellungen!$C$4,DATE(Einstellungen!$C$4,1,1)+261,"")</f>
        <v>46649</v>
      </c>
      <c r="B266" s="26" t="str">
        <f aca="false">IF($A266="","",CHOOSE(WEEKDAY($A266,2),"Mo","Di","Mi","Do","Fr","Sa","So"))</f>
        <v>So</v>
      </c>
      <c r="C266" s="26" t="n">
        <f aca="false">IF($A266="","",MONTH($A266))</f>
        <v>9</v>
      </c>
      <c r="D266" s="26" t="str">
        <f aca="false">IF($A266="","",IF(INDEX(Muster!$C$6:$BF$6,1,MOD($A266-Einstellungen!$C$6,Einstellungen!$C$7)+1)="","-",INDEX(Muster!$C$6:$BF$6,1,MOD($A266-Einstellungen!$C$6,Einstellungen!$C$7)+1)))</f>
        <v>S</v>
      </c>
      <c r="E266" s="27" t="n">
        <f aca="false">IF($A266="","",IFERROR(VLOOKUP(D266,Schichten!$A$5:$G$24,6,FALSE()),0))</f>
        <v>8</v>
      </c>
      <c r="F266" s="27" t="n">
        <f aca="false">IF($A266="","",IFERROR(VLOOKUP(D266,Schichten!$A$5:$G$24,7,FALSE()),0))</f>
        <v>0</v>
      </c>
      <c r="G266" s="28" t="n">
        <f aca="false">IF($A266="","",IF(N(E266)=0,"",$A266+VLOOKUP(D266,Schichten!$A$5:$G$24,3,FALSE())))</f>
        <v>46649.5833333333</v>
      </c>
      <c r="H266" s="28" t="n">
        <f aca="false">IF(G266="","",$A266+VLOOKUP(D266,Schichten!$A$5:$G$24,4,FALSE())+IF(VLOOKUP(D266,Schichten!$A$5:$G$24,4,FALSE())&lt;=VLOOKUP(D266,Schichten!$A$5:$G$24,3,FALSE()),1,0))</f>
        <v>46649.9166666667</v>
      </c>
      <c r="I266" s="28" t="n">
        <f aca="false">IF($A266="","",IF(N(E265)&gt;0,H265,I265))</f>
        <v>46648.5833333333</v>
      </c>
      <c r="J266" s="27" t="n">
        <f aca="false">IF(OR(G266="",I266=""),"",(G266-I266)*24)</f>
        <v>24</v>
      </c>
      <c r="K266" s="21" t="n">
        <f aca="false">IF($A266="","",IF(N(E266)&gt;0,N(K265)+1,0))</f>
        <v>3</v>
      </c>
      <c r="L266" s="21" t="n">
        <f aca="false">IF($A266="","",IF(N(F266)&gt;0,N(L265)+1,0))</f>
        <v>0</v>
      </c>
      <c r="M266" s="21" t="n">
        <f aca="false">IF($A266="","",IF(WEEKDAY($A266,2)&lt;&gt;7,"",IF(AND(OR(G266="",N(G266)&gt;=$A266+16/24,N(H266)&lt;=$A266+6/24),OR(I266="",N(I266)&lt;=$A266+6/24)),1,0)))</f>
        <v>0</v>
      </c>
      <c r="N266" s="26" t="str">
        <f aca="false">IF($A266="","",IF(INDEX(Muster!$C$7:$BF$7,1,MOD($A266-Einstellungen!$C$6,Einstellungen!$C$7)+1)="","-",INDEX(Muster!$C$7:$BF$7,1,MOD($A266-Einstellungen!$C$6,Einstellungen!$C$7)+1)))</f>
        <v>F</v>
      </c>
      <c r="O266" s="27" t="n">
        <f aca="false">IF($A266="","",IFERROR(VLOOKUP(N266,Schichten!$A$5:$G$24,6,FALSE()),0))</f>
        <v>8</v>
      </c>
      <c r="P266" s="27" t="n">
        <f aca="false">IF($A266="","",IFERROR(VLOOKUP(N266,Schichten!$A$5:$G$24,7,FALSE()),0))</f>
        <v>0</v>
      </c>
      <c r="Q266" s="28" t="n">
        <f aca="false">IF($A266="","",IF(N(O266)=0,"",$A266+VLOOKUP(N266,Schichten!$A$5:$G$24,3,FALSE())))</f>
        <v>46649.25</v>
      </c>
      <c r="R266" s="28" t="n">
        <f aca="false">IF(Q266="","",$A266+VLOOKUP(N266,Schichten!$A$5:$G$24,4,FALSE())+IF(VLOOKUP(N266,Schichten!$A$5:$G$24,4,FALSE())&lt;=VLOOKUP(N266,Schichten!$A$5:$G$24,3,FALSE()),1,0))</f>
        <v>46649.5833333333</v>
      </c>
      <c r="S266" s="28" t="n">
        <f aca="false">IF($A266="","",IF(N(O265)&gt;0,R265,S265))</f>
        <v>46647.25</v>
      </c>
      <c r="T266" s="27" t="n">
        <f aca="false">IF(OR(Q266="",S266=""),"",(Q266-S266)*24)</f>
        <v>48</v>
      </c>
      <c r="U266" s="21" t="n">
        <f aca="false">IF($A266="","",IF(N(O266)&gt;0,N(U265)+1,0))</f>
        <v>1</v>
      </c>
      <c r="V266" s="21" t="n">
        <f aca="false">IF($A266="","",IF(N(P266)&gt;0,N(V265)+1,0))</f>
        <v>0</v>
      </c>
      <c r="W266" s="21" t="n">
        <f aca="false">IF($A266="","",IF(WEEKDAY($A266,2)&lt;&gt;7,"",IF(AND(OR(Q266="",N(Q266)&gt;=$A266+16/24,N(R266)&lt;=$A266+6/24),OR(S266="",N(S266)&lt;=$A266+6/24)),1,0)))</f>
        <v>0</v>
      </c>
      <c r="X266" s="26" t="str">
        <f aca="false">IF($A266="","",IF(INDEX(Muster!$C$8:$BF$8,1,MOD($A266-Einstellungen!$C$6,Einstellungen!$C$7)+1)="","-",INDEX(Muster!$C$8:$BF$8,1,MOD($A266-Einstellungen!$C$6,Einstellungen!$C$7)+1)))</f>
        <v>-</v>
      </c>
      <c r="Y266" s="27" t="n">
        <f aca="false">IF($A266="","",IFERROR(VLOOKUP(X266,Schichten!$A$5:$G$24,6,FALSE()),0))</f>
        <v>0</v>
      </c>
      <c r="Z266" s="27" t="n">
        <f aca="false">IF($A266="","",IFERROR(VLOOKUP(X266,Schichten!$A$5:$G$24,7,FALSE()),0))</f>
        <v>0</v>
      </c>
      <c r="AA266" s="28" t="str">
        <f aca="false">IF($A266="","",IF(N(Y266)=0,"",$A266+VLOOKUP(X266,Schichten!$A$5:$G$24,3,FALSE())))</f>
        <v/>
      </c>
      <c r="AB266" s="28" t="str">
        <f aca="false">IF(AA266="","",$A266+VLOOKUP(X266,Schichten!$A$5:$G$24,4,FALSE())+IF(VLOOKUP(X266,Schichten!$A$5:$G$24,4,FALSE())&lt;=VLOOKUP(X266,Schichten!$A$5:$G$24,3,FALSE()),1,0))</f>
        <v/>
      </c>
      <c r="AC266" s="28" t="n">
        <f aca="false">IF($A266="","",IF(N(Y265)&gt;0,AB265,AC265))</f>
        <v>46649.25</v>
      </c>
      <c r="AD266" s="27" t="str">
        <f aca="false">IF(OR(AA266="",AC266=""),"",(AA266-AC266)*24)</f>
        <v/>
      </c>
      <c r="AE266" s="21" t="n">
        <f aca="false">IF($A266="","",IF(N(Y266)&gt;0,N(AE265)+1,0))</f>
        <v>0</v>
      </c>
      <c r="AF266" s="21" t="n">
        <f aca="false">IF($A266="","",IF(N(Z266)&gt;0,N(AF265)+1,0))</f>
        <v>0</v>
      </c>
      <c r="AG266" s="21" t="n">
        <f aca="false">IF($A266="","",IF(WEEKDAY($A266,2)&lt;&gt;7,"",IF(AND(OR(AA266="",N(AA266)&gt;=$A266+16/24,N(AB266)&lt;=$A266+6/24),OR(AC266="",N(AC266)&lt;=$A266+6/24)),1,0)))</f>
        <v>1</v>
      </c>
      <c r="AH266" s="26" t="str">
        <f aca="false">IF($A266="","",IF(INDEX(Muster!$C$9:$BF$9,1,MOD($A266-Einstellungen!$C$6,Einstellungen!$C$7)+1)="","-",INDEX(Muster!$C$9:$BF$9,1,MOD($A266-Einstellungen!$C$6,Einstellungen!$C$7)+1)))</f>
        <v>N</v>
      </c>
      <c r="AI266" s="27" t="n">
        <f aca="false">IF($A266="","",IFERROR(VLOOKUP(AH266,Schichten!$A$5:$G$24,6,FALSE()),0))</f>
        <v>8</v>
      </c>
      <c r="AJ266" s="27" t="n">
        <f aca="false">IF($A266="","",IFERROR(VLOOKUP(AH266,Schichten!$A$5:$G$24,7,FALSE()),0))</f>
        <v>7</v>
      </c>
      <c r="AK266" s="28" t="n">
        <f aca="false">IF($A266="","",IF(N(AI266)=0,"",$A266+VLOOKUP(AH266,Schichten!$A$5:$G$24,3,FALSE())))</f>
        <v>46649.9166666667</v>
      </c>
      <c r="AL266" s="28" t="n">
        <f aca="false">IF(AK266="","",$A266+VLOOKUP(AH266,Schichten!$A$5:$G$24,4,FALSE())+IF(VLOOKUP(AH266,Schichten!$A$5:$G$24,4,FALSE())&lt;=VLOOKUP(AH266,Schichten!$A$5:$G$24,3,FALSE()),1,0))</f>
        <v>46650.25</v>
      </c>
      <c r="AM266" s="28" t="n">
        <f aca="false">IF($A266="","",IF(N(AI265)&gt;0,AL265,AM265))</f>
        <v>46648.9166666667</v>
      </c>
      <c r="AN266" s="27" t="n">
        <f aca="false">IF(OR(AK266="",AM266=""),"",(AK266-AM266)*24)</f>
        <v>24</v>
      </c>
      <c r="AO266" s="21" t="n">
        <f aca="false">IF($A266="","",IF(N(AI266)&gt;0,N(AO265)+1,0))</f>
        <v>5</v>
      </c>
      <c r="AP266" s="21" t="n">
        <f aca="false">IF($A266="","",IF(N(AJ266)&gt;0,N(AP265)+1,0))</f>
        <v>1</v>
      </c>
      <c r="AQ266" s="21" t="n">
        <f aca="false">IF($A266="","",IF(WEEKDAY($A266,2)&lt;&gt;7,"",IF(AND(OR(AK266="",N(AK266)&gt;=$A266+16/24,N(AL266)&lt;=$A266+6/24),OR(AM266="",N(AM266)&lt;=$A266+6/24)),1,0)))</f>
        <v>1</v>
      </c>
      <c r="AR266" s="26" t="str">
        <f aca="false">IF($A266="","",IF(INDEX(Muster!$C$10:$BF$10,1,MOD($A266-Einstellungen!$C$6,Einstellungen!$C$7)+1)="","-",INDEX(Muster!$C$10:$BF$10,1,MOD($A266-Einstellungen!$C$6,Einstellungen!$C$7)+1)))</f>
        <v>-</v>
      </c>
      <c r="AS266" s="27" t="n">
        <f aca="false">IF($A266="","",IFERROR(VLOOKUP(AR266,Schichten!$A$5:$G$24,6,FALSE()),0))</f>
        <v>0</v>
      </c>
      <c r="AT266" s="27" t="n">
        <f aca="false">IF($A266="","",IFERROR(VLOOKUP(AR266,Schichten!$A$5:$G$24,7,FALSE()),0))</f>
        <v>0</v>
      </c>
      <c r="AU266" s="28" t="str">
        <f aca="false">IF($A266="","",IF(N(AS266)=0,"",$A266+VLOOKUP(AR266,Schichten!$A$5:$G$24,3,FALSE())))</f>
        <v/>
      </c>
      <c r="AV266" s="28" t="str">
        <f aca="false">IF(AU266="","",$A266+VLOOKUP(AR266,Schichten!$A$5:$G$24,4,FALSE())+IF(VLOOKUP(AR266,Schichten!$A$5:$G$24,4,FALSE())&lt;=VLOOKUP(AR266,Schichten!$A$5:$G$24,3,FALSE()),1,0))</f>
        <v/>
      </c>
      <c r="AW266" s="28" t="str">
        <f aca="false">IF($A266="","",IF(N(AS265)&gt;0,AV265,AW265))</f>
        <v/>
      </c>
      <c r="AX266" s="27" t="str">
        <f aca="false">IF(OR(AU266="",AW266=""),"",(AU266-AW266)*24)</f>
        <v/>
      </c>
      <c r="AY266" s="21" t="n">
        <f aca="false">IF($A266="","",IF(N(AS266)&gt;0,N(AY265)+1,0))</f>
        <v>0</v>
      </c>
      <c r="AZ266" s="21" t="n">
        <f aca="false">IF($A266="","",IF(N(AT266)&gt;0,N(AZ265)+1,0))</f>
        <v>0</v>
      </c>
      <c r="BA266" s="21" t="n">
        <f aca="false">IF($A266="","",IF(WEEKDAY($A266,2)&lt;&gt;7,"",IF(AND(OR(AU266="",N(AU266)&gt;=$A266+16/24,N(AV266)&lt;=$A266+6/24),OR(AW266="",N(AW266)&lt;=$A266+6/24)),1,0)))</f>
        <v>1</v>
      </c>
    </row>
    <row r="267" customFormat="false" ht="15" hidden="false" customHeight="false" outlineLevel="0" collapsed="false">
      <c r="A267" s="25" t="n">
        <f aca="false">IF(YEAR(DATE(Einstellungen!$C$4,1,1)+262)=Einstellungen!$C$4,DATE(Einstellungen!$C$4,1,1)+262,"")</f>
        <v>46650</v>
      </c>
      <c r="B267" s="26" t="str">
        <f aca="false">IF($A267="","",CHOOSE(WEEKDAY($A267,2),"Mo","Di","Mi","Do","Fr","Sa","So"))</f>
        <v>Mo</v>
      </c>
      <c r="C267" s="26" t="n">
        <f aca="false">IF($A267="","",MONTH($A267))</f>
        <v>9</v>
      </c>
      <c r="D267" s="26" t="str">
        <f aca="false">IF($A267="","",IF(INDEX(Muster!$C$6:$BF$6,1,MOD($A267-Einstellungen!$C$6,Einstellungen!$C$7)+1)="","-",INDEX(Muster!$C$6:$BF$6,1,MOD($A267-Einstellungen!$C$6,Einstellungen!$C$7)+1)))</f>
        <v>S</v>
      </c>
      <c r="E267" s="27" t="n">
        <f aca="false">IF($A267="","",IFERROR(VLOOKUP(D267,Schichten!$A$5:$G$24,6,FALSE()),0))</f>
        <v>8</v>
      </c>
      <c r="F267" s="27" t="n">
        <f aca="false">IF($A267="","",IFERROR(VLOOKUP(D267,Schichten!$A$5:$G$24,7,FALSE()),0))</f>
        <v>0</v>
      </c>
      <c r="G267" s="28" t="n">
        <f aca="false">IF($A267="","",IF(N(E267)=0,"",$A267+VLOOKUP(D267,Schichten!$A$5:$G$24,3,FALSE())))</f>
        <v>46650.5833333333</v>
      </c>
      <c r="H267" s="28" t="n">
        <f aca="false">IF(G267="","",$A267+VLOOKUP(D267,Schichten!$A$5:$G$24,4,FALSE())+IF(VLOOKUP(D267,Schichten!$A$5:$G$24,4,FALSE())&lt;=VLOOKUP(D267,Schichten!$A$5:$G$24,3,FALSE()),1,0))</f>
        <v>46650.9166666667</v>
      </c>
      <c r="I267" s="28" t="n">
        <f aca="false">IF($A267="","",IF(N(E266)&gt;0,H266,I266))</f>
        <v>46649.9166666667</v>
      </c>
      <c r="J267" s="27" t="n">
        <f aca="false">IF(OR(G267="",I267=""),"",(G267-I267)*24)</f>
        <v>16</v>
      </c>
      <c r="K267" s="21" t="n">
        <f aca="false">IF($A267="","",IF(N(E267)&gt;0,N(K266)+1,0))</f>
        <v>4</v>
      </c>
      <c r="L267" s="21" t="n">
        <f aca="false">IF($A267="","",IF(N(F267)&gt;0,N(L266)+1,0))</f>
        <v>0</v>
      </c>
      <c r="M267" s="21" t="str">
        <f aca="false">IF($A267="","",IF(WEEKDAY($A267,2)&lt;&gt;7,"",IF(AND(OR(G267="",N(G267)&gt;=$A267+16/24,N(H267)&lt;=$A267+6/24),OR(I267="",N(I267)&lt;=$A267+6/24)),1,0)))</f>
        <v/>
      </c>
      <c r="N267" s="26" t="str">
        <f aca="false">IF($A267="","",IF(INDEX(Muster!$C$7:$BF$7,1,MOD($A267-Einstellungen!$C$6,Einstellungen!$C$7)+1)="","-",INDEX(Muster!$C$7:$BF$7,1,MOD($A267-Einstellungen!$C$6,Einstellungen!$C$7)+1)))</f>
        <v>F</v>
      </c>
      <c r="O267" s="27" t="n">
        <f aca="false">IF($A267="","",IFERROR(VLOOKUP(N267,Schichten!$A$5:$G$24,6,FALSE()),0))</f>
        <v>8</v>
      </c>
      <c r="P267" s="27" t="n">
        <f aca="false">IF($A267="","",IFERROR(VLOOKUP(N267,Schichten!$A$5:$G$24,7,FALSE()),0))</f>
        <v>0</v>
      </c>
      <c r="Q267" s="28" t="n">
        <f aca="false">IF($A267="","",IF(N(O267)=0,"",$A267+VLOOKUP(N267,Schichten!$A$5:$G$24,3,FALSE())))</f>
        <v>46650.25</v>
      </c>
      <c r="R267" s="28" t="n">
        <f aca="false">IF(Q267="","",$A267+VLOOKUP(N267,Schichten!$A$5:$G$24,4,FALSE())+IF(VLOOKUP(N267,Schichten!$A$5:$G$24,4,FALSE())&lt;=VLOOKUP(N267,Schichten!$A$5:$G$24,3,FALSE()),1,0))</f>
        <v>46650.5833333333</v>
      </c>
      <c r="S267" s="28" t="n">
        <f aca="false">IF($A267="","",IF(N(O266)&gt;0,R266,S266))</f>
        <v>46649.5833333333</v>
      </c>
      <c r="T267" s="27" t="n">
        <f aca="false">IF(OR(Q267="",S267=""),"",(Q267-S267)*24)</f>
        <v>16</v>
      </c>
      <c r="U267" s="21" t="n">
        <f aca="false">IF($A267="","",IF(N(O267)&gt;0,N(U266)+1,0))</f>
        <v>2</v>
      </c>
      <c r="V267" s="21" t="n">
        <f aca="false">IF($A267="","",IF(N(P267)&gt;0,N(V266)+1,0))</f>
        <v>0</v>
      </c>
      <c r="W267" s="21" t="str">
        <f aca="false">IF($A267="","",IF(WEEKDAY($A267,2)&lt;&gt;7,"",IF(AND(OR(Q267="",N(Q267)&gt;=$A267+16/24,N(R267)&lt;=$A267+6/24),OR(S267="",N(S267)&lt;=$A267+6/24)),1,0)))</f>
        <v/>
      </c>
      <c r="X267" s="26" t="str">
        <f aca="false">IF($A267="","",IF(INDEX(Muster!$C$8:$BF$8,1,MOD($A267-Einstellungen!$C$6,Einstellungen!$C$7)+1)="","-",INDEX(Muster!$C$8:$BF$8,1,MOD($A267-Einstellungen!$C$6,Einstellungen!$C$7)+1)))</f>
        <v>-</v>
      </c>
      <c r="Y267" s="27" t="n">
        <f aca="false">IF($A267="","",IFERROR(VLOOKUP(X267,Schichten!$A$5:$G$24,6,FALSE()),0))</f>
        <v>0</v>
      </c>
      <c r="Z267" s="27" t="n">
        <f aca="false">IF($A267="","",IFERROR(VLOOKUP(X267,Schichten!$A$5:$G$24,7,FALSE()),0))</f>
        <v>0</v>
      </c>
      <c r="AA267" s="28" t="str">
        <f aca="false">IF($A267="","",IF(N(Y267)=0,"",$A267+VLOOKUP(X267,Schichten!$A$5:$G$24,3,FALSE())))</f>
        <v/>
      </c>
      <c r="AB267" s="28" t="str">
        <f aca="false">IF(AA267="","",$A267+VLOOKUP(X267,Schichten!$A$5:$G$24,4,FALSE())+IF(VLOOKUP(X267,Schichten!$A$5:$G$24,4,FALSE())&lt;=VLOOKUP(X267,Schichten!$A$5:$G$24,3,FALSE()),1,0))</f>
        <v/>
      </c>
      <c r="AC267" s="28" t="n">
        <f aca="false">IF($A267="","",IF(N(Y266)&gt;0,AB266,AC266))</f>
        <v>46649.25</v>
      </c>
      <c r="AD267" s="27" t="str">
        <f aca="false">IF(OR(AA267="",AC267=""),"",(AA267-AC267)*24)</f>
        <v/>
      </c>
      <c r="AE267" s="21" t="n">
        <f aca="false">IF($A267="","",IF(N(Y267)&gt;0,N(AE266)+1,0))</f>
        <v>0</v>
      </c>
      <c r="AF267" s="21" t="n">
        <f aca="false">IF($A267="","",IF(N(Z267)&gt;0,N(AF266)+1,0))</f>
        <v>0</v>
      </c>
      <c r="AG267" s="21" t="str">
        <f aca="false">IF($A267="","",IF(WEEKDAY($A267,2)&lt;&gt;7,"",IF(AND(OR(AA267="",N(AA267)&gt;=$A267+16/24,N(AB267)&lt;=$A267+6/24),OR(AC267="",N(AC267)&lt;=$A267+6/24)),1,0)))</f>
        <v/>
      </c>
      <c r="AH267" s="26" t="str">
        <f aca="false">IF($A267="","",IF(INDEX(Muster!$C$9:$BF$9,1,MOD($A267-Einstellungen!$C$6,Einstellungen!$C$7)+1)="","-",INDEX(Muster!$C$9:$BF$9,1,MOD($A267-Einstellungen!$C$6,Einstellungen!$C$7)+1)))</f>
        <v>N</v>
      </c>
      <c r="AI267" s="27" t="n">
        <f aca="false">IF($A267="","",IFERROR(VLOOKUP(AH267,Schichten!$A$5:$G$24,6,FALSE()),0))</f>
        <v>8</v>
      </c>
      <c r="AJ267" s="27" t="n">
        <f aca="false">IF($A267="","",IFERROR(VLOOKUP(AH267,Schichten!$A$5:$G$24,7,FALSE()),0))</f>
        <v>7</v>
      </c>
      <c r="AK267" s="28" t="n">
        <f aca="false">IF($A267="","",IF(N(AI267)=0,"",$A267+VLOOKUP(AH267,Schichten!$A$5:$G$24,3,FALSE())))</f>
        <v>46650.9166666667</v>
      </c>
      <c r="AL267" s="28" t="n">
        <f aca="false">IF(AK267="","",$A267+VLOOKUP(AH267,Schichten!$A$5:$G$24,4,FALSE())+IF(VLOOKUP(AH267,Schichten!$A$5:$G$24,4,FALSE())&lt;=VLOOKUP(AH267,Schichten!$A$5:$G$24,3,FALSE()),1,0))</f>
        <v>46651.25</v>
      </c>
      <c r="AM267" s="28" t="n">
        <f aca="false">IF($A267="","",IF(N(AI266)&gt;0,AL266,AM266))</f>
        <v>46650.25</v>
      </c>
      <c r="AN267" s="27" t="n">
        <f aca="false">IF(OR(AK267="",AM267=""),"",(AK267-AM267)*24)</f>
        <v>16</v>
      </c>
      <c r="AO267" s="21" t="n">
        <f aca="false">IF($A267="","",IF(N(AI267)&gt;0,N(AO266)+1,0))</f>
        <v>6</v>
      </c>
      <c r="AP267" s="21" t="n">
        <f aca="false">IF($A267="","",IF(N(AJ267)&gt;0,N(AP266)+1,0))</f>
        <v>2</v>
      </c>
      <c r="AQ267" s="21" t="str">
        <f aca="false">IF($A267="","",IF(WEEKDAY($A267,2)&lt;&gt;7,"",IF(AND(OR(AK267="",N(AK267)&gt;=$A267+16/24,N(AL267)&lt;=$A267+6/24),OR(AM267="",N(AM267)&lt;=$A267+6/24)),1,0)))</f>
        <v/>
      </c>
      <c r="AR267" s="26" t="str">
        <f aca="false">IF($A267="","",IF(INDEX(Muster!$C$10:$BF$10,1,MOD($A267-Einstellungen!$C$6,Einstellungen!$C$7)+1)="","-",INDEX(Muster!$C$10:$BF$10,1,MOD($A267-Einstellungen!$C$6,Einstellungen!$C$7)+1)))</f>
        <v>-</v>
      </c>
      <c r="AS267" s="27" t="n">
        <f aca="false">IF($A267="","",IFERROR(VLOOKUP(AR267,Schichten!$A$5:$G$24,6,FALSE()),0))</f>
        <v>0</v>
      </c>
      <c r="AT267" s="27" t="n">
        <f aca="false">IF($A267="","",IFERROR(VLOOKUP(AR267,Schichten!$A$5:$G$24,7,FALSE()),0))</f>
        <v>0</v>
      </c>
      <c r="AU267" s="28" t="str">
        <f aca="false">IF($A267="","",IF(N(AS267)=0,"",$A267+VLOOKUP(AR267,Schichten!$A$5:$G$24,3,FALSE())))</f>
        <v/>
      </c>
      <c r="AV267" s="28" t="str">
        <f aca="false">IF(AU267="","",$A267+VLOOKUP(AR267,Schichten!$A$5:$G$24,4,FALSE())+IF(VLOOKUP(AR267,Schichten!$A$5:$G$24,4,FALSE())&lt;=VLOOKUP(AR267,Schichten!$A$5:$G$24,3,FALSE()),1,0))</f>
        <v/>
      </c>
      <c r="AW267" s="28" t="str">
        <f aca="false">IF($A267="","",IF(N(AS266)&gt;0,AV266,AW266))</f>
        <v/>
      </c>
      <c r="AX267" s="27" t="str">
        <f aca="false">IF(OR(AU267="",AW267=""),"",(AU267-AW267)*24)</f>
        <v/>
      </c>
      <c r="AY267" s="21" t="n">
        <f aca="false">IF($A267="","",IF(N(AS267)&gt;0,N(AY266)+1,0))</f>
        <v>0</v>
      </c>
      <c r="AZ267" s="21" t="n">
        <f aca="false">IF($A267="","",IF(N(AT267)&gt;0,N(AZ266)+1,0))</f>
        <v>0</v>
      </c>
      <c r="BA267" s="21" t="str">
        <f aca="false">IF($A267="","",IF(WEEKDAY($A267,2)&lt;&gt;7,"",IF(AND(OR(AU267="",N(AU267)&gt;=$A267+16/24,N(AV267)&lt;=$A267+6/24),OR(AW267="",N(AW267)&lt;=$A267+6/24)),1,0)))</f>
        <v/>
      </c>
    </row>
    <row r="268" customFormat="false" ht="15" hidden="false" customHeight="false" outlineLevel="0" collapsed="false">
      <c r="A268" s="25" t="n">
        <f aca="false">IF(YEAR(DATE(Einstellungen!$C$4,1,1)+263)=Einstellungen!$C$4,DATE(Einstellungen!$C$4,1,1)+263,"")</f>
        <v>46651</v>
      </c>
      <c r="B268" s="26" t="str">
        <f aca="false">IF($A268="","",CHOOSE(WEEKDAY($A268,2),"Mo","Di","Mi","Do","Fr","Sa","So"))</f>
        <v>Di</v>
      </c>
      <c r="C268" s="26" t="n">
        <f aca="false">IF($A268="","",MONTH($A268))</f>
        <v>9</v>
      </c>
      <c r="D268" s="26" t="str">
        <f aca="false">IF($A268="","",IF(INDEX(Muster!$C$6:$BF$6,1,MOD($A268-Einstellungen!$C$6,Einstellungen!$C$7)+1)="","-",INDEX(Muster!$C$6:$BF$6,1,MOD($A268-Einstellungen!$C$6,Einstellungen!$C$7)+1)))</f>
        <v>N</v>
      </c>
      <c r="E268" s="27" t="n">
        <f aca="false">IF($A268="","",IFERROR(VLOOKUP(D268,Schichten!$A$5:$G$24,6,FALSE()),0))</f>
        <v>8</v>
      </c>
      <c r="F268" s="27" t="n">
        <f aca="false">IF($A268="","",IFERROR(VLOOKUP(D268,Schichten!$A$5:$G$24,7,FALSE()),0))</f>
        <v>7</v>
      </c>
      <c r="G268" s="28" t="n">
        <f aca="false">IF($A268="","",IF(N(E268)=0,"",$A268+VLOOKUP(D268,Schichten!$A$5:$G$24,3,FALSE())))</f>
        <v>46651.9166666667</v>
      </c>
      <c r="H268" s="28" t="n">
        <f aca="false">IF(G268="","",$A268+VLOOKUP(D268,Schichten!$A$5:$G$24,4,FALSE())+IF(VLOOKUP(D268,Schichten!$A$5:$G$24,4,FALSE())&lt;=VLOOKUP(D268,Schichten!$A$5:$G$24,3,FALSE()),1,0))</f>
        <v>46652.25</v>
      </c>
      <c r="I268" s="28" t="n">
        <f aca="false">IF($A268="","",IF(N(E267)&gt;0,H267,I267))</f>
        <v>46650.9166666667</v>
      </c>
      <c r="J268" s="27" t="n">
        <f aca="false">IF(OR(G268="",I268=""),"",(G268-I268)*24)</f>
        <v>24</v>
      </c>
      <c r="K268" s="21" t="n">
        <f aca="false">IF($A268="","",IF(N(E268)&gt;0,N(K267)+1,0))</f>
        <v>5</v>
      </c>
      <c r="L268" s="21" t="n">
        <f aca="false">IF($A268="","",IF(N(F268)&gt;0,N(L267)+1,0))</f>
        <v>1</v>
      </c>
      <c r="M268" s="21" t="str">
        <f aca="false">IF($A268="","",IF(WEEKDAY($A268,2)&lt;&gt;7,"",IF(AND(OR(G268="",N(G268)&gt;=$A268+16/24,N(H268)&lt;=$A268+6/24),OR(I268="",N(I268)&lt;=$A268+6/24)),1,0)))</f>
        <v/>
      </c>
      <c r="N268" s="26" t="str">
        <f aca="false">IF($A268="","",IF(INDEX(Muster!$C$7:$BF$7,1,MOD($A268-Einstellungen!$C$6,Einstellungen!$C$7)+1)="","-",INDEX(Muster!$C$7:$BF$7,1,MOD($A268-Einstellungen!$C$6,Einstellungen!$C$7)+1)))</f>
        <v>S</v>
      </c>
      <c r="O268" s="27" t="n">
        <f aca="false">IF($A268="","",IFERROR(VLOOKUP(N268,Schichten!$A$5:$G$24,6,FALSE()),0))</f>
        <v>8</v>
      </c>
      <c r="P268" s="27" t="n">
        <f aca="false">IF($A268="","",IFERROR(VLOOKUP(N268,Schichten!$A$5:$G$24,7,FALSE()),0))</f>
        <v>0</v>
      </c>
      <c r="Q268" s="28" t="n">
        <f aca="false">IF($A268="","",IF(N(O268)=0,"",$A268+VLOOKUP(N268,Schichten!$A$5:$G$24,3,FALSE())))</f>
        <v>46651.5833333333</v>
      </c>
      <c r="R268" s="28" t="n">
        <f aca="false">IF(Q268="","",$A268+VLOOKUP(N268,Schichten!$A$5:$G$24,4,FALSE())+IF(VLOOKUP(N268,Schichten!$A$5:$G$24,4,FALSE())&lt;=VLOOKUP(N268,Schichten!$A$5:$G$24,3,FALSE()),1,0))</f>
        <v>46651.9166666667</v>
      </c>
      <c r="S268" s="28" t="n">
        <f aca="false">IF($A268="","",IF(N(O267)&gt;0,R267,S267))</f>
        <v>46650.5833333333</v>
      </c>
      <c r="T268" s="27" t="n">
        <f aca="false">IF(OR(Q268="",S268=""),"",(Q268-S268)*24)</f>
        <v>24</v>
      </c>
      <c r="U268" s="21" t="n">
        <f aca="false">IF($A268="","",IF(N(O268)&gt;0,N(U267)+1,0))</f>
        <v>3</v>
      </c>
      <c r="V268" s="21" t="n">
        <f aca="false">IF($A268="","",IF(N(P268)&gt;0,N(V267)+1,0))</f>
        <v>0</v>
      </c>
      <c r="W268" s="21" t="str">
        <f aca="false">IF($A268="","",IF(WEEKDAY($A268,2)&lt;&gt;7,"",IF(AND(OR(Q268="",N(Q268)&gt;=$A268+16/24,N(R268)&lt;=$A268+6/24),OR(S268="",N(S268)&lt;=$A268+6/24)),1,0)))</f>
        <v/>
      </c>
      <c r="X268" s="26" t="str">
        <f aca="false">IF($A268="","",IF(INDEX(Muster!$C$8:$BF$8,1,MOD($A268-Einstellungen!$C$6,Einstellungen!$C$7)+1)="","-",INDEX(Muster!$C$8:$BF$8,1,MOD($A268-Einstellungen!$C$6,Einstellungen!$C$7)+1)))</f>
        <v>F</v>
      </c>
      <c r="Y268" s="27" t="n">
        <f aca="false">IF($A268="","",IFERROR(VLOOKUP(X268,Schichten!$A$5:$G$24,6,FALSE()),0))</f>
        <v>8</v>
      </c>
      <c r="Z268" s="27" t="n">
        <f aca="false">IF($A268="","",IFERROR(VLOOKUP(X268,Schichten!$A$5:$G$24,7,FALSE()),0))</f>
        <v>0</v>
      </c>
      <c r="AA268" s="28" t="n">
        <f aca="false">IF($A268="","",IF(N(Y268)=0,"",$A268+VLOOKUP(X268,Schichten!$A$5:$G$24,3,FALSE())))</f>
        <v>46651.25</v>
      </c>
      <c r="AB268" s="28" t="n">
        <f aca="false">IF(AA268="","",$A268+VLOOKUP(X268,Schichten!$A$5:$G$24,4,FALSE())+IF(VLOOKUP(X268,Schichten!$A$5:$G$24,4,FALSE())&lt;=VLOOKUP(X268,Schichten!$A$5:$G$24,3,FALSE()),1,0))</f>
        <v>46651.5833333333</v>
      </c>
      <c r="AC268" s="28" t="n">
        <f aca="false">IF($A268="","",IF(N(Y267)&gt;0,AB267,AC267))</f>
        <v>46649.25</v>
      </c>
      <c r="AD268" s="27" t="n">
        <f aca="false">IF(OR(AA268="",AC268=""),"",(AA268-AC268)*24)</f>
        <v>48</v>
      </c>
      <c r="AE268" s="21" t="n">
        <f aca="false">IF($A268="","",IF(N(Y268)&gt;0,N(AE267)+1,0))</f>
        <v>1</v>
      </c>
      <c r="AF268" s="21" t="n">
        <f aca="false">IF($A268="","",IF(N(Z268)&gt;0,N(AF267)+1,0))</f>
        <v>0</v>
      </c>
      <c r="AG268" s="21" t="str">
        <f aca="false">IF($A268="","",IF(WEEKDAY($A268,2)&lt;&gt;7,"",IF(AND(OR(AA268="",N(AA268)&gt;=$A268+16/24,N(AB268)&lt;=$A268+6/24),OR(AC268="",N(AC268)&lt;=$A268+6/24)),1,0)))</f>
        <v/>
      </c>
      <c r="AH268" s="26" t="str">
        <f aca="false">IF($A268="","",IF(INDEX(Muster!$C$9:$BF$9,1,MOD($A268-Einstellungen!$C$6,Einstellungen!$C$7)+1)="","-",INDEX(Muster!$C$9:$BF$9,1,MOD($A268-Einstellungen!$C$6,Einstellungen!$C$7)+1)))</f>
        <v>-</v>
      </c>
      <c r="AI268" s="27" t="n">
        <f aca="false">IF($A268="","",IFERROR(VLOOKUP(AH268,Schichten!$A$5:$G$24,6,FALSE()),0))</f>
        <v>0</v>
      </c>
      <c r="AJ268" s="27" t="n">
        <f aca="false">IF($A268="","",IFERROR(VLOOKUP(AH268,Schichten!$A$5:$G$24,7,FALSE()),0))</f>
        <v>0</v>
      </c>
      <c r="AK268" s="28" t="str">
        <f aca="false">IF($A268="","",IF(N(AI268)=0,"",$A268+VLOOKUP(AH268,Schichten!$A$5:$G$24,3,FALSE())))</f>
        <v/>
      </c>
      <c r="AL268" s="28" t="str">
        <f aca="false">IF(AK268="","",$A268+VLOOKUP(AH268,Schichten!$A$5:$G$24,4,FALSE())+IF(VLOOKUP(AH268,Schichten!$A$5:$G$24,4,FALSE())&lt;=VLOOKUP(AH268,Schichten!$A$5:$G$24,3,FALSE()),1,0))</f>
        <v/>
      </c>
      <c r="AM268" s="28" t="n">
        <f aca="false">IF($A268="","",IF(N(AI267)&gt;0,AL267,AM267))</f>
        <v>46651.25</v>
      </c>
      <c r="AN268" s="27" t="str">
        <f aca="false">IF(OR(AK268="",AM268=""),"",(AK268-AM268)*24)</f>
        <v/>
      </c>
      <c r="AO268" s="21" t="n">
        <f aca="false">IF($A268="","",IF(N(AI268)&gt;0,N(AO267)+1,0))</f>
        <v>0</v>
      </c>
      <c r="AP268" s="21" t="n">
        <f aca="false">IF($A268="","",IF(N(AJ268)&gt;0,N(AP267)+1,0))</f>
        <v>0</v>
      </c>
      <c r="AQ268" s="21" t="str">
        <f aca="false">IF($A268="","",IF(WEEKDAY($A268,2)&lt;&gt;7,"",IF(AND(OR(AK268="",N(AK268)&gt;=$A268+16/24,N(AL268)&lt;=$A268+6/24),OR(AM268="",N(AM268)&lt;=$A268+6/24)),1,0)))</f>
        <v/>
      </c>
      <c r="AR268" s="26" t="str">
        <f aca="false">IF($A268="","",IF(INDEX(Muster!$C$10:$BF$10,1,MOD($A268-Einstellungen!$C$6,Einstellungen!$C$7)+1)="","-",INDEX(Muster!$C$10:$BF$10,1,MOD($A268-Einstellungen!$C$6,Einstellungen!$C$7)+1)))</f>
        <v>-</v>
      </c>
      <c r="AS268" s="27" t="n">
        <f aca="false">IF($A268="","",IFERROR(VLOOKUP(AR268,Schichten!$A$5:$G$24,6,FALSE()),0))</f>
        <v>0</v>
      </c>
      <c r="AT268" s="27" t="n">
        <f aca="false">IF($A268="","",IFERROR(VLOOKUP(AR268,Schichten!$A$5:$G$24,7,FALSE()),0))</f>
        <v>0</v>
      </c>
      <c r="AU268" s="28" t="str">
        <f aca="false">IF($A268="","",IF(N(AS268)=0,"",$A268+VLOOKUP(AR268,Schichten!$A$5:$G$24,3,FALSE())))</f>
        <v/>
      </c>
      <c r="AV268" s="28" t="str">
        <f aca="false">IF(AU268="","",$A268+VLOOKUP(AR268,Schichten!$A$5:$G$24,4,FALSE())+IF(VLOOKUP(AR268,Schichten!$A$5:$G$24,4,FALSE())&lt;=VLOOKUP(AR268,Schichten!$A$5:$G$24,3,FALSE()),1,0))</f>
        <v/>
      </c>
      <c r="AW268" s="28" t="str">
        <f aca="false">IF($A268="","",IF(N(AS267)&gt;0,AV267,AW267))</f>
        <v/>
      </c>
      <c r="AX268" s="27" t="str">
        <f aca="false">IF(OR(AU268="",AW268=""),"",(AU268-AW268)*24)</f>
        <v/>
      </c>
      <c r="AY268" s="21" t="n">
        <f aca="false">IF($A268="","",IF(N(AS268)&gt;0,N(AY267)+1,0))</f>
        <v>0</v>
      </c>
      <c r="AZ268" s="21" t="n">
        <f aca="false">IF($A268="","",IF(N(AT268)&gt;0,N(AZ267)+1,0))</f>
        <v>0</v>
      </c>
      <c r="BA268" s="21" t="str">
        <f aca="false">IF($A268="","",IF(WEEKDAY($A268,2)&lt;&gt;7,"",IF(AND(OR(AU268="",N(AU268)&gt;=$A268+16/24,N(AV268)&lt;=$A268+6/24),OR(AW268="",N(AW268)&lt;=$A268+6/24)),1,0)))</f>
        <v/>
      </c>
    </row>
    <row r="269" customFormat="false" ht="15" hidden="false" customHeight="false" outlineLevel="0" collapsed="false">
      <c r="A269" s="25" t="n">
        <f aca="false">IF(YEAR(DATE(Einstellungen!$C$4,1,1)+264)=Einstellungen!$C$4,DATE(Einstellungen!$C$4,1,1)+264,"")</f>
        <v>46652</v>
      </c>
      <c r="B269" s="26" t="str">
        <f aca="false">IF($A269="","",CHOOSE(WEEKDAY($A269,2),"Mo","Di","Mi","Do","Fr","Sa","So"))</f>
        <v>Mi</v>
      </c>
      <c r="C269" s="26" t="n">
        <f aca="false">IF($A269="","",MONTH($A269))</f>
        <v>9</v>
      </c>
      <c r="D269" s="26" t="str">
        <f aca="false">IF($A269="","",IF(INDEX(Muster!$C$6:$BF$6,1,MOD($A269-Einstellungen!$C$6,Einstellungen!$C$7)+1)="","-",INDEX(Muster!$C$6:$BF$6,1,MOD($A269-Einstellungen!$C$6,Einstellungen!$C$7)+1)))</f>
        <v>N</v>
      </c>
      <c r="E269" s="27" t="n">
        <f aca="false">IF($A269="","",IFERROR(VLOOKUP(D269,Schichten!$A$5:$G$24,6,FALSE()),0))</f>
        <v>8</v>
      </c>
      <c r="F269" s="27" t="n">
        <f aca="false">IF($A269="","",IFERROR(VLOOKUP(D269,Schichten!$A$5:$G$24,7,FALSE()),0))</f>
        <v>7</v>
      </c>
      <c r="G269" s="28" t="n">
        <f aca="false">IF($A269="","",IF(N(E269)=0,"",$A269+VLOOKUP(D269,Schichten!$A$5:$G$24,3,FALSE())))</f>
        <v>46652.9166666667</v>
      </c>
      <c r="H269" s="28" t="n">
        <f aca="false">IF(G269="","",$A269+VLOOKUP(D269,Schichten!$A$5:$G$24,4,FALSE())+IF(VLOOKUP(D269,Schichten!$A$5:$G$24,4,FALSE())&lt;=VLOOKUP(D269,Schichten!$A$5:$G$24,3,FALSE()),1,0))</f>
        <v>46653.25</v>
      </c>
      <c r="I269" s="28" t="n">
        <f aca="false">IF($A269="","",IF(N(E268)&gt;0,H268,I268))</f>
        <v>46652.25</v>
      </c>
      <c r="J269" s="27" t="n">
        <f aca="false">IF(OR(G269="",I269=""),"",(G269-I269)*24)</f>
        <v>16</v>
      </c>
      <c r="K269" s="21" t="n">
        <f aca="false">IF($A269="","",IF(N(E269)&gt;0,N(K268)+1,0))</f>
        <v>6</v>
      </c>
      <c r="L269" s="21" t="n">
        <f aca="false">IF($A269="","",IF(N(F269)&gt;0,N(L268)+1,0))</f>
        <v>2</v>
      </c>
      <c r="M269" s="21" t="str">
        <f aca="false">IF($A269="","",IF(WEEKDAY($A269,2)&lt;&gt;7,"",IF(AND(OR(G269="",N(G269)&gt;=$A269+16/24,N(H269)&lt;=$A269+6/24),OR(I269="",N(I269)&lt;=$A269+6/24)),1,0)))</f>
        <v/>
      </c>
      <c r="N269" s="26" t="str">
        <f aca="false">IF($A269="","",IF(INDEX(Muster!$C$7:$BF$7,1,MOD($A269-Einstellungen!$C$6,Einstellungen!$C$7)+1)="","-",INDEX(Muster!$C$7:$BF$7,1,MOD($A269-Einstellungen!$C$6,Einstellungen!$C$7)+1)))</f>
        <v>S</v>
      </c>
      <c r="O269" s="27" t="n">
        <f aca="false">IF($A269="","",IFERROR(VLOOKUP(N269,Schichten!$A$5:$G$24,6,FALSE()),0))</f>
        <v>8</v>
      </c>
      <c r="P269" s="27" t="n">
        <f aca="false">IF($A269="","",IFERROR(VLOOKUP(N269,Schichten!$A$5:$G$24,7,FALSE()),0))</f>
        <v>0</v>
      </c>
      <c r="Q269" s="28" t="n">
        <f aca="false">IF($A269="","",IF(N(O269)=0,"",$A269+VLOOKUP(N269,Schichten!$A$5:$G$24,3,FALSE())))</f>
        <v>46652.5833333333</v>
      </c>
      <c r="R269" s="28" t="n">
        <f aca="false">IF(Q269="","",$A269+VLOOKUP(N269,Schichten!$A$5:$G$24,4,FALSE())+IF(VLOOKUP(N269,Schichten!$A$5:$G$24,4,FALSE())&lt;=VLOOKUP(N269,Schichten!$A$5:$G$24,3,FALSE()),1,0))</f>
        <v>46652.9166666667</v>
      </c>
      <c r="S269" s="28" t="n">
        <f aca="false">IF($A269="","",IF(N(O268)&gt;0,R268,S268))</f>
        <v>46651.9166666667</v>
      </c>
      <c r="T269" s="27" t="n">
        <f aca="false">IF(OR(Q269="",S269=""),"",(Q269-S269)*24)</f>
        <v>16</v>
      </c>
      <c r="U269" s="21" t="n">
        <f aca="false">IF($A269="","",IF(N(O269)&gt;0,N(U268)+1,0))</f>
        <v>4</v>
      </c>
      <c r="V269" s="21" t="n">
        <f aca="false">IF($A269="","",IF(N(P269)&gt;0,N(V268)+1,0))</f>
        <v>0</v>
      </c>
      <c r="W269" s="21" t="str">
        <f aca="false">IF($A269="","",IF(WEEKDAY($A269,2)&lt;&gt;7,"",IF(AND(OR(Q269="",N(Q269)&gt;=$A269+16/24,N(R269)&lt;=$A269+6/24),OR(S269="",N(S269)&lt;=$A269+6/24)),1,0)))</f>
        <v/>
      </c>
      <c r="X269" s="26" t="str">
        <f aca="false">IF($A269="","",IF(INDEX(Muster!$C$8:$BF$8,1,MOD($A269-Einstellungen!$C$6,Einstellungen!$C$7)+1)="","-",INDEX(Muster!$C$8:$BF$8,1,MOD($A269-Einstellungen!$C$6,Einstellungen!$C$7)+1)))</f>
        <v>F</v>
      </c>
      <c r="Y269" s="27" t="n">
        <f aca="false">IF($A269="","",IFERROR(VLOOKUP(X269,Schichten!$A$5:$G$24,6,FALSE()),0))</f>
        <v>8</v>
      </c>
      <c r="Z269" s="27" t="n">
        <f aca="false">IF($A269="","",IFERROR(VLOOKUP(X269,Schichten!$A$5:$G$24,7,FALSE()),0))</f>
        <v>0</v>
      </c>
      <c r="AA269" s="28" t="n">
        <f aca="false">IF($A269="","",IF(N(Y269)=0,"",$A269+VLOOKUP(X269,Schichten!$A$5:$G$24,3,FALSE())))</f>
        <v>46652.25</v>
      </c>
      <c r="AB269" s="28" t="n">
        <f aca="false">IF(AA269="","",$A269+VLOOKUP(X269,Schichten!$A$5:$G$24,4,FALSE())+IF(VLOOKUP(X269,Schichten!$A$5:$G$24,4,FALSE())&lt;=VLOOKUP(X269,Schichten!$A$5:$G$24,3,FALSE()),1,0))</f>
        <v>46652.5833333333</v>
      </c>
      <c r="AC269" s="28" t="n">
        <f aca="false">IF($A269="","",IF(N(Y268)&gt;0,AB268,AC268))</f>
        <v>46651.5833333333</v>
      </c>
      <c r="AD269" s="27" t="n">
        <f aca="false">IF(OR(AA269="",AC269=""),"",(AA269-AC269)*24)</f>
        <v>16</v>
      </c>
      <c r="AE269" s="21" t="n">
        <f aca="false">IF($A269="","",IF(N(Y269)&gt;0,N(AE268)+1,0))</f>
        <v>2</v>
      </c>
      <c r="AF269" s="21" t="n">
        <f aca="false">IF($A269="","",IF(N(Z269)&gt;0,N(AF268)+1,0))</f>
        <v>0</v>
      </c>
      <c r="AG269" s="21" t="str">
        <f aca="false">IF($A269="","",IF(WEEKDAY($A269,2)&lt;&gt;7,"",IF(AND(OR(AA269="",N(AA269)&gt;=$A269+16/24,N(AB269)&lt;=$A269+6/24),OR(AC269="",N(AC269)&lt;=$A269+6/24)),1,0)))</f>
        <v/>
      </c>
      <c r="AH269" s="26" t="str">
        <f aca="false">IF($A269="","",IF(INDEX(Muster!$C$9:$BF$9,1,MOD($A269-Einstellungen!$C$6,Einstellungen!$C$7)+1)="","-",INDEX(Muster!$C$9:$BF$9,1,MOD($A269-Einstellungen!$C$6,Einstellungen!$C$7)+1)))</f>
        <v>-</v>
      </c>
      <c r="AI269" s="27" t="n">
        <f aca="false">IF($A269="","",IFERROR(VLOOKUP(AH269,Schichten!$A$5:$G$24,6,FALSE()),0))</f>
        <v>0</v>
      </c>
      <c r="AJ269" s="27" t="n">
        <f aca="false">IF($A269="","",IFERROR(VLOOKUP(AH269,Schichten!$A$5:$G$24,7,FALSE()),0))</f>
        <v>0</v>
      </c>
      <c r="AK269" s="28" t="str">
        <f aca="false">IF($A269="","",IF(N(AI269)=0,"",$A269+VLOOKUP(AH269,Schichten!$A$5:$G$24,3,FALSE())))</f>
        <v/>
      </c>
      <c r="AL269" s="28" t="str">
        <f aca="false">IF(AK269="","",$A269+VLOOKUP(AH269,Schichten!$A$5:$G$24,4,FALSE())+IF(VLOOKUP(AH269,Schichten!$A$5:$G$24,4,FALSE())&lt;=VLOOKUP(AH269,Schichten!$A$5:$G$24,3,FALSE()),1,0))</f>
        <v/>
      </c>
      <c r="AM269" s="28" t="n">
        <f aca="false">IF($A269="","",IF(N(AI268)&gt;0,AL268,AM268))</f>
        <v>46651.25</v>
      </c>
      <c r="AN269" s="27" t="str">
        <f aca="false">IF(OR(AK269="",AM269=""),"",(AK269-AM269)*24)</f>
        <v/>
      </c>
      <c r="AO269" s="21" t="n">
        <f aca="false">IF($A269="","",IF(N(AI269)&gt;0,N(AO268)+1,0))</f>
        <v>0</v>
      </c>
      <c r="AP269" s="21" t="n">
        <f aca="false">IF($A269="","",IF(N(AJ269)&gt;0,N(AP268)+1,0))</f>
        <v>0</v>
      </c>
      <c r="AQ269" s="21" t="str">
        <f aca="false">IF($A269="","",IF(WEEKDAY($A269,2)&lt;&gt;7,"",IF(AND(OR(AK269="",N(AK269)&gt;=$A269+16/24,N(AL269)&lt;=$A269+6/24),OR(AM269="",N(AM269)&lt;=$A269+6/24)),1,0)))</f>
        <v/>
      </c>
      <c r="AR269" s="26" t="str">
        <f aca="false">IF($A269="","",IF(INDEX(Muster!$C$10:$BF$10,1,MOD($A269-Einstellungen!$C$6,Einstellungen!$C$7)+1)="","-",INDEX(Muster!$C$10:$BF$10,1,MOD($A269-Einstellungen!$C$6,Einstellungen!$C$7)+1)))</f>
        <v>-</v>
      </c>
      <c r="AS269" s="27" t="n">
        <f aca="false">IF($A269="","",IFERROR(VLOOKUP(AR269,Schichten!$A$5:$G$24,6,FALSE()),0))</f>
        <v>0</v>
      </c>
      <c r="AT269" s="27" t="n">
        <f aca="false">IF($A269="","",IFERROR(VLOOKUP(AR269,Schichten!$A$5:$G$24,7,FALSE()),0))</f>
        <v>0</v>
      </c>
      <c r="AU269" s="28" t="str">
        <f aca="false">IF($A269="","",IF(N(AS269)=0,"",$A269+VLOOKUP(AR269,Schichten!$A$5:$G$24,3,FALSE())))</f>
        <v/>
      </c>
      <c r="AV269" s="28" t="str">
        <f aca="false">IF(AU269="","",$A269+VLOOKUP(AR269,Schichten!$A$5:$G$24,4,FALSE())+IF(VLOOKUP(AR269,Schichten!$A$5:$G$24,4,FALSE())&lt;=VLOOKUP(AR269,Schichten!$A$5:$G$24,3,FALSE()),1,0))</f>
        <v/>
      </c>
      <c r="AW269" s="28" t="str">
        <f aca="false">IF($A269="","",IF(N(AS268)&gt;0,AV268,AW268))</f>
        <v/>
      </c>
      <c r="AX269" s="27" t="str">
        <f aca="false">IF(OR(AU269="",AW269=""),"",(AU269-AW269)*24)</f>
        <v/>
      </c>
      <c r="AY269" s="21" t="n">
        <f aca="false">IF($A269="","",IF(N(AS269)&gt;0,N(AY268)+1,0))</f>
        <v>0</v>
      </c>
      <c r="AZ269" s="21" t="n">
        <f aca="false">IF($A269="","",IF(N(AT269)&gt;0,N(AZ268)+1,0))</f>
        <v>0</v>
      </c>
      <c r="BA269" s="21" t="str">
        <f aca="false">IF($A269="","",IF(WEEKDAY($A269,2)&lt;&gt;7,"",IF(AND(OR(AU269="",N(AU269)&gt;=$A269+16/24,N(AV269)&lt;=$A269+6/24),OR(AW269="",N(AW269)&lt;=$A269+6/24)),1,0)))</f>
        <v/>
      </c>
    </row>
    <row r="270" customFormat="false" ht="15" hidden="false" customHeight="false" outlineLevel="0" collapsed="false">
      <c r="A270" s="25" t="n">
        <f aca="false">IF(YEAR(DATE(Einstellungen!$C$4,1,1)+265)=Einstellungen!$C$4,DATE(Einstellungen!$C$4,1,1)+265,"")</f>
        <v>46653</v>
      </c>
      <c r="B270" s="26" t="str">
        <f aca="false">IF($A270="","",CHOOSE(WEEKDAY($A270,2),"Mo","Di","Mi","Do","Fr","Sa","So"))</f>
        <v>Do</v>
      </c>
      <c r="C270" s="26" t="n">
        <f aca="false">IF($A270="","",MONTH($A270))</f>
        <v>9</v>
      </c>
      <c r="D270" s="26" t="str">
        <f aca="false">IF($A270="","",IF(INDEX(Muster!$C$6:$BF$6,1,MOD($A270-Einstellungen!$C$6,Einstellungen!$C$7)+1)="","-",INDEX(Muster!$C$6:$BF$6,1,MOD($A270-Einstellungen!$C$6,Einstellungen!$C$7)+1)))</f>
        <v>-</v>
      </c>
      <c r="E270" s="27" t="n">
        <f aca="false">IF($A270="","",IFERROR(VLOOKUP(D270,Schichten!$A$5:$G$24,6,FALSE()),0))</f>
        <v>0</v>
      </c>
      <c r="F270" s="27" t="n">
        <f aca="false">IF($A270="","",IFERROR(VLOOKUP(D270,Schichten!$A$5:$G$24,7,FALSE()),0))</f>
        <v>0</v>
      </c>
      <c r="G270" s="28" t="str">
        <f aca="false">IF($A270="","",IF(N(E270)=0,"",$A270+VLOOKUP(D270,Schichten!$A$5:$G$24,3,FALSE())))</f>
        <v/>
      </c>
      <c r="H270" s="28" t="str">
        <f aca="false">IF(G270="","",$A270+VLOOKUP(D270,Schichten!$A$5:$G$24,4,FALSE())+IF(VLOOKUP(D270,Schichten!$A$5:$G$24,4,FALSE())&lt;=VLOOKUP(D270,Schichten!$A$5:$G$24,3,FALSE()),1,0))</f>
        <v/>
      </c>
      <c r="I270" s="28" t="n">
        <f aca="false">IF($A270="","",IF(N(E269)&gt;0,H269,I269))</f>
        <v>46653.25</v>
      </c>
      <c r="J270" s="27" t="str">
        <f aca="false">IF(OR(G270="",I270=""),"",(G270-I270)*24)</f>
        <v/>
      </c>
      <c r="K270" s="21" t="n">
        <f aca="false">IF($A270="","",IF(N(E270)&gt;0,N(K269)+1,0))</f>
        <v>0</v>
      </c>
      <c r="L270" s="21" t="n">
        <f aca="false">IF($A270="","",IF(N(F270)&gt;0,N(L269)+1,0))</f>
        <v>0</v>
      </c>
      <c r="M270" s="21" t="str">
        <f aca="false">IF($A270="","",IF(WEEKDAY($A270,2)&lt;&gt;7,"",IF(AND(OR(G270="",N(G270)&gt;=$A270+16/24,N(H270)&lt;=$A270+6/24),OR(I270="",N(I270)&lt;=$A270+6/24)),1,0)))</f>
        <v/>
      </c>
      <c r="N270" s="26" t="str">
        <f aca="false">IF($A270="","",IF(INDEX(Muster!$C$7:$BF$7,1,MOD($A270-Einstellungen!$C$6,Einstellungen!$C$7)+1)="","-",INDEX(Muster!$C$7:$BF$7,1,MOD($A270-Einstellungen!$C$6,Einstellungen!$C$7)+1)))</f>
        <v>N</v>
      </c>
      <c r="O270" s="27" t="n">
        <f aca="false">IF($A270="","",IFERROR(VLOOKUP(N270,Schichten!$A$5:$G$24,6,FALSE()),0))</f>
        <v>8</v>
      </c>
      <c r="P270" s="27" t="n">
        <f aca="false">IF($A270="","",IFERROR(VLOOKUP(N270,Schichten!$A$5:$G$24,7,FALSE()),0))</f>
        <v>7</v>
      </c>
      <c r="Q270" s="28" t="n">
        <f aca="false">IF($A270="","",IF(N(O270)=0,"",$A270+VLOOKUP(N270,Schichten!$A$5:$G$24,3,FALSE())))</f>
        <v>46653.9166666667</v>
      </c>
      <c r="R270" s="28" t="n">
        <f aca="false">IF(Q270="","",$A270+VLOOKUP(N270,Schichten!$A$5:$G$24,4,FALSE())+IF(VLOOKUP(N270,Schichten!$A$5:$G$24,4,FALSE())&lt;=VLOOKUP(N270,Schichten!$A$5:$G$24,3,FALSE()),1,0))</f>
        <v>46654.25</v>
      </c>
      <c r="S270" s="28" t="n">
        <f aca="false">IF($A270="","",IF(N(O269)&gt;0,R269,S269))</f>
        <v>46652.9166666667</v>
      </c>
      <c r="T270" s="27" t="n">
        <f aca="false">IF(OR(Q270="",S270=""),"",(Q270-S270)*24)</f>
        <v>24</v>
      </c>
      <c r="U270" s="21" t="n">
        <f aca="false">IF($A270="","",IF(N(O270)&gt;0,N(U269)+1,0))</f>
        <v>5</v>
      </c>
      <c r="V270" s="21" t="n">
        <f aca="false">IF($A270="","",IF(N(P270)&gt;0,N(V269)+1,0))</f>
        <v>1</v>
      </c>
      <c r="W270" s="21" t="str">
        <f aca="false">IF($A270="","",IF(WEEKDAY($A270,2)&lt;&gt;7,"",IF(AND(OR(Q270="",N(Q270)&gt;=$A270+16/24,N(R270)&lt;=$A270+6/24),OR(S270="",N(S270)&lt;=$A270+6/24)),1,0)))</f>
        <v/>
      </c>
      <c r="X270" s="26" t="str">
        <f aca="false">IF($A270="","",IF(INDEX(Muster!$C$8:$BF$8,1,MOD($A270-Einstellungen!$C$6,Einstellungen!$C$7)+1)="","-",INDEX(Muster!$C$8:$BF$8,1,MOD($A270-Einstellungen!$C$6,Einstellungen!$C$7)+1)))</f>
        <v>S</v>
      </c>
      <c r="Y270" s="27" t="n">
        <f aca="false">IF($A270="","",IFERROR(VLOOKUP(X270,Schichten!$A$5:$G$24,6,FALSE()),0))</f>
        <v>8</v>
      </c>
      <c r="Z270" s="27" t="n">
        <f aca="false">IF($A270="","",IFERROR(VLOOKUP(X270,Schichten!$A$5:$G$24,7,FALSE()),0))</f>
        <v>0</v>
      </c>
      <c r="AA270" s="28" t="n">
        <f aca="false">IF($A270="","",IF(N(Y270)=0,"",$A270+VLOOKUP(X270,Schichten!$A$5:$G$24,3,FALSE())))</f>
        <v>46653.5833333333</v>
      </c>
      <c r="AB270" s="28" t="n">
        <f aca="false">IF(AA270="","",$A270+VLOOKUP(X270,Schichten!$A$5:$G$24,4,FALSE())+IF(VLOOKUP(X270,Schichten!$A$5:$G$24,4,FALSE())&lt;=VLOOKUP(X270,Schichten!$A$5:$G$24,3,FALSE()),1,0))</f>
        <v>46653.9166666667</v>
      </c>
      <c r="AC270" s="28" t="n">
        <f aca="false">IF($A270="","",IF(N(Y269)&gt;0,AB269,AC269))</f>
        <v>46652.5833333333</v>
      </c>
      <c r="AD270" s="27" t="n">
        <f aca="false">IF(OR(AA270="",AC270=""),"",(AA270-AC270)*24)</f>
        <v>24</v>
      </c>
      <c r="AE270" s="21" t="n">
        <f aca="false">IF($A270="","",IF(N(Y270)&gt;0,N(AE269)+1,0))</f>
        <v>3</v>
      </c>
      <c r="AF270" s="21" t="n">
        <f aca="false">IF($A270="","",IF(N(Z270)&gt;0,N(AF269)+1,0))</f>
        <v>0</v>
      </c>
      <c r="AG270" s="21" t="str">
        <f aca="false">IF($A270="","",IF(WEEKDAY($A270,2)&lt;&gt;7,"",IF(AND(OR(AA270="",N(AA270)&gt;=$A270+16/24,N(AB270)&lt;=$A270+6/24),OR(AC270="",N(AC270)&lt;=$A270+6/24)),1,0)))</f>
        <v/>
      </c>
      <c r="AH270" s="26" t="str">
        <f aca="false">IF($A270="","",IF(INDEX(Muster!$C$9:$BF$9,1,MOD($A270-Einstellungen!$C$6,Einstellungen!$C$7)+1)="","-",INDEX(Muster!$C$9:$BF$9,1,MOD($A270-Einstellungen!$C$6,Einstellungen!$C$7)+1)))</f>
        <v>F</v>
      </c>
      <c r="AI270" s="27" t="n">
        <f aca="false">IF($A270="","",IFERROR(VLOOKUP(AH270,Schichten!$A$5:$G$24,6,FALSE()),0))</f>
        <v>8</v>
      </c>
      <c r="AJ270" s="27" t="n">
        <f aca="false">IF($A270="","",IFERROR(VLOOKUP(AH270,Schichten!$A$5:$G$24,7,FALSE()),0))</f>
        <v>0</v>
      </c>
      <c r="AK270" s="28" t="n">
        <f aca="false">IF($A270="","",IF(N(AI270)=0,"",$A270+VLOOKUP(AH270,Schichten!$A$5:$G$24,3,FALSE())))</f>
        <v>46653.25</v>
      </c>
      <c r="AL270" s="28" t="n">
        <f aca="false">IF(AK270="","",$A270+VLOOKUP(AH270,Schichten!$A$5:$G$24,4,FALSE())+IF(VLOOKUP(AH270,Schichten!$A$5:$G$24,4,FALSE())&lt;=VLOOKUP(AH270,Schichten!$A$5:$G$24,3,FALSE()),1,0))</f>
        <v>46653.5833333333</v>
      </c>
      <c r="AM270" s="28" t="n">
        <f aca="false">IF($A270="","",IF(N(AI269)&gt;0,AL269,AM269))</f>
        <v>46651.25</v>
      </c>
      <c r="AN270" s="27" t="n">
        <f aca="false">IF(OR(AK270="",AM270=""),"",(AK270-AM270)*24)</f>
        <v>48</v>
      </c>
      <c r="AO270" s="21" t="n">
        <f aca="false">IF($A270="","",IF(N(AI270)&gt;0,N(AO269)+1,0))</f>
        <v>1</v>
      </c>
      <c r="AP270" s="21" t="n">
        <f aca="false">IF($A270="","",IF(N(AJ270)&gt;0,N(AP269)+1,0))</f>
        <v>0</v>
      </c>
      <c r="AQ270" s="21" t="str">
        <f aca="false">IF($A270="","",IF(WEEKDAY($A270,2)&lt;&gt;7,"",IF(AND(OR(AK270="",N(AK270)&gt;=$A270+16/24,N(AL270)&lt;=$A270+6/24),OR(AM270="",N(AM270)&lt;=$A270+6/24)),1,0)))</f>
        <v/>
      </c>
      <c r="AR270" s="26" t="str">
        <f aca="false">IF($A270="","",IF(INDEX(Muster!$C$10:$BF$10,1,MOD($A270-Einstellungen!$C$6,Einstellungen!$C$7)+1)="","-",INDEX(Muster!$C$10:$BF$10,1,MOD($A270-Einstellungen!$C$6,Einstellungen!$C$7)+1)))</f>
        <v>-</v>
      </c>
      <c r="AS270" s="27" t="n">
        <f aca="false">IF($A270="","",IFERROR(VLOOKUP(AR270,Schichten!$A$5:$G$24,6,FALSE()),0))</f>
        <v>0</v>
      </c>
      <c r="AT270" s="27" t="n">
        <f aca="false">IF($A270="","",IFERROR(VLOOKUP(AR270,Schichten!$A$5:$G$24,7,FALSE()),0))</f>
        <v>0</v>
      </c>
      <c r="AU270" s="28" t="str">
        <f aca="false">IF($A270="","",IF(N(AS270)=0,"",$A270+VLOOKUP(AR270,Schichten!$A$5:$G$24,3,FALSE())))</f>
        <v/>
      </c>
      <c r="AV270" s="28" t="str">
        <f aca="false">IF(AU270="","",$A270+VLOOKUP(AR270,Schichten!$A$5:$G$24,4,FALSE())+IF(VLOOKUP(AR270,Schichten!$A$5:$G$24,4,FALSE())&lt;=VLOOKUP(AR270,Schichten!$A$5:$G$24,3,FALSE()),1,0))</f>
        <v/>
      </c>
      <c r="AW270" s="28" t="str">
        <f aca="false">IF($A270="","",IF(N(AS269)&gt;0,AV269,AW269))</f>
        <v/>
      </c>
      <c r="AX270" s="27" t="str">
        <f aca="false">IF(OR(AU270="",AW270=""),"",(AU270-AW270)*24)</f>
        <v/>
      </c>
      <c r="AY270" s="21" t="n">
        <f aca="false">IF($A270="","",IF(N(AS270)&gt;0,N(AY269)+1,0))</f>
        <v>0</v>
      </c>
      <c r="AZ270" s="21" t="n">
        <f aca="false">IF($A270="","",IF(N(AT270)&gt;0,N(AZ269)+1,0))</f>
        <v>0</v>
      </c>
      <c r="BA270" s="21" t="str">
        <f aca="false">IF($A270="","",IF(WEEKDAY($A270,2)&lt;&gt;7,"",IF(AND(OR(AU270="",N(AU270)&gt;=$A270+16/24,N(AV270)&lt;=$A270+6/24),OR(AW270="",N(AW270)&lt;=$A270+6/24)),1,0)))</f>
        <v/>
      </c>
    </row>
    <row r="271" customFormat="false" ht="15" hidden="false" customHeight="false" outlineLevel="0" collapsed="false">
      <c r="A271" s="25" t="n">
        <f aca="false">IF(YEAR(DATE(Einstellungen!$C$4,1,1)+266)=Einstellungen!$C$4,DATE(Einstellungen!$C$4,1,1)+266,"")</f>
        <v>46654</v>
      </c>
      <c r="B271" s="26" t="str">
        <f aca="false">IF($A271="","",CHOOSE(WEEKDAY($A271,2),"Mo","Di","Mi","Do","Fr","Sa","So"))</f>
        <v>Fr</v>
      </c>
      <c r="C271" s="26" t="n">
        <f aca="false">IF($A271="","",MONTH($A271))</f>
        <v>9</v>
      </c>
      <c r="D271" s="26" t="str">
        <f aca="false">IF($A271="","",IF(INDEX(Muster!$C$6:$BF$6,1,MOD($A271-Einstellungen!$C$6,Einstellungen!$C$7)+1)="","-",INDEX(Muster!$C$6:$BF$6,1,MOD($A271-Einstellungen!$C$6,Einstellungen!$C$7)+1)))</f>
        <v>-</v>
      </c>
      <c r="E271" s="27" t="n">
        <f aca="false">IF($A271="","",IFERROR(VLOOKUP(D271,Schichten!$A$5:$G$24,6,FALSE()),0))</f>
        <v>0</v>
      </c>
      <c r="F271" s="27" t="n">
        <f aca="false">IF($A271="","",IFERROR(VLOOKUP(D271,Schichten!$A$5:$G$24,7,FALSE()),0))</f>
        <v>0</v>
      </c>
      <c r="G271" s="28" t="str">
        <f aca="false">IF($A271="","",IF(N(E271)=0,"",$A271+VLOOKUP(D271,Schichten!$A$5:$G$24,3,FALSE())))</f>
        <v/>
      </c>
      <c r="H271" s="28" t="str">
        <f aca="false">IF(G271="","",$A271+VLOOKUP(D271,Schichten!$A$5:$G$24,4,FALSE())+IF(VLOOKUP(D271,Schichten!$A$5:$G$24,4,FALSE())&lt;=VLOOKUP(D271,Schichten!$A$5:$G$24,3,FALSE()),1,0))</f>
        <v/>
      </c>
      <c r="I271" s="28" t="n">
        <f aca="false">IF($A271="","",IF(N(E270)&gt;0,H270,I270))</f>
        <v>46653.25</v>
      </c>
      <c r="J271" s="27" t="str">
        <f aca="false">IF(OR(G271="",I271=""),"",(G271-I271)*24)</f>
        <v/>
      </c>
      <c r="K271" s="21" t="n">
        <f aca="false">IF($A271="","",IF(N(E271)&gt;0,N(K270)+1,0))</f>
        <v>0</v>
      </c>
      <c r="L271" s="21" t="n">
        <f aca="false">IF($A271="","",IF(N(F271)&gt;0,N(L270)+1,0))</f>
        <v>0</v>
      </c>
      <c r="M271" s="21" t="str">
        <f aca="false">IF($A271="","",IF(WEEKDAY($A271,2)&lt;&gt;7,"",IF(AND(OR(G271="",N(G271)&gt;=$A271+16/24,N(H271)&lt;=$A271+6/24),OR(I271="",N(I271)&lt;=$A271+6/24)),1,0)))</f>
        <v/>
      </c>
      <c r="N271" s="26" t="str">
        <f aca="false">IF($A271="","",IF(INDEX(Muster!$C$7:$BF$7,1,MOD($A271-Einstellungen!$C$6,Einstellungen!$C$7)+1)="","-",INDEX(Muster!$C$7:$BF$7,1,MOD($A271-Einstellungen!$C$6,Einstellungen!$C$7)+1)))</f>
        <v>N</v>
      </c>
      <c r="O271" s="27" t="n">
        <f aca="false">IF($A271="","",IFERROR(VLOOKUP(N271,Schichten!$A$5:$G$24,6,FALSE()),0))</f>
        <v>8</v>
      </c>
      <c r="P271" s="27" t="n">
        <f aca="false">IF($A271="","",IFERROR(VLOOKUP(N271,Schichten!$A$5:$G$24,7,FALSE()),0))</f>
        <v>7</v>
      </c>
      <c r="Q271" s="28" t="n">
        <f aca="false">IF($A271="","",IF(N(O271)=0,"",$A271+VLOOKUP(N271,Schichten!$A$5:$G$24,3,FALSE())))</f>
        <v>46654.9166666667</v>
      </c>
      <c r="R271" s="28" t="n">
        <f aca="false">IF(Q271="","",$A271+VLOOKUP(N271,Schichten!$A$5:$G$24,4,FALSE())+IF(VLOOKUP(N271,Schichten!$A$5:$G$24,4,FALSE())&lt;=VLOOKUP(N271,Schichten!$A$5:$G$24,3,FALSE()),1,0))</f>
        <v>46655.25</v>
      </c>
      <c r="S271" s="28" t="n">
        <f aca="false">IF($A271="","",IF(N(O270)&gt;0,R270,S270))</f>
        <v>46654.25</v>
      </c>
      <c r="T271" s="27" t="n">
        <f aca="false">IF(OR(Q271="",S271=""),"",(Q271-S271)*24)</f>
        <v>16</v>
      </c>
      <c r="U271" s="21" t="n">
        <f aca="false">IF($A271="","",IF(N(O271)&gt;0,N(U270)+1,0))</f>
        <v>6</v>
      </c>
      <c r="V271" s="21" t="n">
        <f aca="false">IF($A271="","",IF(N(P271)&gt;0,N(V270)+1,0))</f>
        <v>2</v>
      </c>
      <c r="W271" s="21" t="str">
        <f aca="false">IF($A271="","",IF(WEEKDAY($A271,2)&lt;&gt;7,"",IF(AND(OR(Q271="",N(Q271)&gt;=$A271+16/24,N(R271)&lt;=$A271+6/24),OR(S271="",N(S271)&lt;=$A271+6/24)),1,0)))</f>
        <v/>
      </c>
      <c r="X271" s="26" t="str">
        <f aca="false">IF($A271="","",IF(INDEX(Muster!$C$8:$BF$8,1,MOD($A271-Einstellungen!$C$6,Einstellungen!$C$7)+1)="","-",INDEX(Muster!$C$8:$BF$8,1,MOD($A271-Einstellungen!$C$6,Einstellungen!$C$7)+1)))</f>
        <v>S</v>
      </c>
      <c r="Y271" s="27" t="n">
        <f aca="false">IF($A271="","",IFERROR(VLOOKUP(X271,Schichten!$A$5:$G$24,6,FALSE()),0))</f>
        <v>8</v>
      </c>
      <c r="Z271" s="27" t="n">
        <f aca="false">IF($A271="","",IFERROR(VLOOKUP(X271,Schichten!$A$5:$G$24,7,FALSE()),0))</f>
        <v>0</v>
      </c>
      <c r="AA271" s="28" t="n">
        <f aca="false">IF($A271="","",IF(N(Y271)=0,"",$A271+VLOOKUP(X271,Schichten!$A$5:$G$24,3,FALSE())))</f>
        <v>46654.5833333333</v>
      </c>
      <c r="AB271" s="28" t="n">
        <f aca="false">IF(AA271="","",$A271+VLOOKUP(X271,Schichten!$A$5:$G$24,4,FALSE())+IF(VLOOKUP(X271,Schichten!$A$5:$G$24,4,FALSE())&lt;=VLOOKUP(X271,Schichten!$A$5:$G$24,3,FALSE()),1,0))</f>
        <v>46654.9166666667</v>
      </c>
      <c r="AC271" s="28" t="n">
        <f aca="false">IF($A271="","",IF(N(Y270)&gt;0,AB270,AC270))</f>
        <v>46653.9166666667</v>
      </c>
      <c r="AD271" s="27" t="n">
        <f aca="false">IF(OR(AA271="",AC271=""),"",(AA271-AC271)*24)</f>
        <v>16</v>
      </c>
      <c r="AE271" s="21" t="n">
        <f aca="false">IF($A271="","",IF(N(Y271)&gt;0,N(AE270)+1,0))</f>
        <v>4</v>
      </c>
      <c r="AF271" s="21" t="n">
        <f aca="false">IF($A271="","",IF(N(Z271)&gt;0,N(AF270)+1,0))</f>
        <v>0</v>
      </c>
      <c r="AG271" s="21" t="str">
        <f aca="false">IF($A271="","",IF(WEEKDAY($A271,2)&lt;&gt;7,"",IF(AND(OR(AA271="",N(AA271)&gt;=$A271+16/24,N(AB271)&lt;=$A271+6/24),OR(AC271="",N(AC271)&lt;=$A271+6/24)),1,0)))</f>
        <v/>
      </c>
      <c r="AH271" s="26" t="str">
        <f aca="false">IF($A271="","",IF(INDEX(Muster!$C$9:$BF$9,1,MOD($A271-Einstellungen!$C$6,Einstellungen!$C$7)+1)="","-",INDEX(Muster!$C$9:$BF$9,1,MOD($A271-Einstellungen!$C$6,Einstellungen!$C$7)+1)))</f>
        <v>F</v>
      </c>
      <c r="AI271" s="27" t="n">
        <f aca="false">IF($A271="","",IFERROR(VLOOKUP(AH271,Schichten!$A$5:$G$24,6,FALSE()),0))</f>
        <v>8</v>
      </c>
      <c r="AJ271" s="27" t="n">
        <f aca="false">IF($A271="","",IFERROR(VLOOKUP(AH271,Schichten!$A$5:$G$24,7,FALSE()),0))</f>
        <v>0</v>
      </c>
      <c r="AK271" s="28" t="n">
        <f aca="false">IF($A271="","",IF(N(AI271)=0,"",$A271+VLOOKUP(AH271,Schichten!$A$5:$G$24,3,FALSE())))</f>
        <v>46654.25</v>
      </c>
      <c r="AL271" s="28" t="n">
        <f aca="false">IF(AK271="","",$A271+VLOOKUP(AH271,Schichten!$A$5:$G$24,4,FALSE())+IF(VLOOKUP(AH271,Schichten!$A$5:$G$24,4,FALSE())&lt;=VLOOKUP(AH271,Schichten!$A$5:$G$24,3,FALSE()),1,0))</f>
        <v>46654.5833333333</v>
      </c>
      <c r="AM271" s="28" t="n">
        <f aca="false">IF($A271="","",IF(N(AI270)&gt;0,AL270,AM270))</f>
        <v>46653.5833333333</v>
      </c>
      <c r="AN271" s="27" t="n">
        <f aca="false">IF(OR(AK271="",AM271=""),"",(AK271-AM271)*24)</f>
        <v>16</v>
      </c>
      <c r="AO271" s="21" t="n">
        <f aca="false">IF($A271="","",IF(N(AI271)&gt;0,N(AO270)+1,0))</f>
        <v>2</v>
      </c>
      <c r="AP271" s="21" t="n">
        <f aca="false">IF($A271="","",IF(N(AJ271)&gt;0,N(AP270)+1,0))</f>
        <v>0</v>
      </c>
      <c r="AQ271" s="21" t="str">
        <f aca="false">IF($A271="","",IF(WEEKDAY($A271,2)&lt;&gt;7,"",IF(AND(OR(AK271="",N(AK271)&gt;=$A271+16/24,N(AL271)&lt;=$A271+6/24),OR(AM271="",N(AM271)&lt;=$A271+6/24)),1,0)))</f>
        <v/>
      </c>
      <c r="AR271" s="26" t="str">
        <f aca="false">IF($A271="","",IF(INDEX(Muster!$C$10:$BF$10,1,MOD($A271-Einstellungen!$C$6,Einstellungen!$C$7)+1)="","-",INDEX(Muster!$C$10:$BF$10,1,MOD($A271-Einstellungen!$C$6,Einstellungen!$C$7)+1)))</f>
        <v>-</v>
      </c>
      <c r="AS271" s="27" t="n">
        <f aca="false">IF($A271="","",IFERROR(VLOOKUP(AR271,Schichten!$A$5:$G$24,6,FALSE()),0))</f>
        <v>0</v>
      </c>
      <c r="AT271" s="27" t="n">
        <f aca="false">IF($A271="","",IFERROR(VLOOKUP(AR271,Schichten!$A$5:$G$24,7,FALSE()),0))</f>
        <v>0</v>
      </c>
      <c r="AU271" s="28" t="str">
        <f aca="false">IF($A271="","",IF(N(AS271)=0,"",$A271+VLOOKUP(AR271,Schichten!$A$5:$G$24,3,FALSE())))</f>
        <v/>
      </c>
      <c r="AV271" s="28" t="str">
        <f aca="false">IF(AU271="","",$A271+VLOOKUP(AR271,Schichten!$A$5:$G$24,4,FALSE())+IF(VLOOKUP(AR271,Schichten!$A$5:$G$24,4,FALSE())&lt;=VLOOKUP(AR271,Schichten!$A$5:$G$24,3,FALSE()),1,0))</f>
        <v/>
      </c>
      <c r="AW271" s="28" t="str">
        <f aca="false">IF($A271="","",IF(N(AS270)&gt;0,AV270,AW270))</f>
        <v/>
      </c>
      <c r="AX271" s="27" t="str">
        <f aca="false">IF(OR(AU271="",AW271=""),"",(AU271-AW271)*24)</f>
        <v/>
      </c>
      <c r="AY271" s="21" t="n">
        <f aca="false">IF($A271="","",IF(N(AS271)&gt;0,N(AY270)+1,0))</f>
        <v>0</v>
      </c>
      <c r="AZ271" s="21" t="n">
        <f aca="false">IF($A271="","",IF(N(AT271)&gt;0,N(AZ270)+1,0))</f>
        <v>0</v>
      </c>
      <c r="BA271" s="21" t="str">
        <f aca="false">IF($A271="","",IF(WEEKDAY($A271,2)&lt;&gt;7,"",IF(AND(OR(AU271="",N(AU271)&gt;=$A271+16/24,N(AV271)&lt;=$A271+6/24),OR(AW271="",N(AW271)&lt;=$A271+6/24)),1,0)))</f>
        <v/>
      </c>
    </row>
    <row r="272" customFormat="false" ht="15" hidden="false" customHeight="false" outlineLevel="0" collapsed="false">
      <c r="A272" s="25" t="n">
        <f aca="false">IF(YEAR(DATE(Einstellungen!$C$4,1,1)+267)=Einstellungen!$C$4,DATE(Einstellungen!$C$4,1,1)+267,"")</f>
        <v>46655</v>
      </c>
      <c r="B272" s="26" t="str">
        <f aca="false">IF($A272="","",CHOOSE(WEEKDAY($A272,2),"Mo","Di","Mi","Do","Fr","Sa","So"))</f>
        <v>Sa</v>
      </c>
      <c r="C272" s="26" t="n">
        <f aca="false">IF($A272="","",MONTH($A272))</f>
        <v>9</v>
      </c>
      <c r="D272" s="26" t="str">
        <f aca="false">IF($A272="","",IF(INDEX(Muster!$C$6:$BF$6,1,MOD($A272-Einstellungen!$C$6,Einstellungen!$C$7)+1)="","-",INDEX(Muster!$C$6:$BF$6,1,MOD($A272-Einstellungen!$C$6,Einstellungen!$C$7)+1)))</f>
        <v>F</v>
      </c>
      <c r="E272" s="27" t="n">
        <f aca="false">IF($A272="","",IFERROR(VLOOKUP(D272,Schichten!$A$5:$G$24,6,FALSE()),0))</f>
        <v>8</v>
      </c>
      <c r="F272" s="27" t="n">
        <f aca="false">IF($A272="","",IFERROR(VLOOKUP(D272,Schichten!$A$5:$G$24,7,FALSE()),0))</f>
        <v>0</v>
      </c>
      <c r="G272" s="28" t="n">
        <f aca="false">IF($A272="","",IF(N(E272)=0,"",$A272+VLOOKUP(D272,Schichten!$A$5:$G$24,3,FALSE())))</f>
        <v>46655.25</v>
      </c>
      <c r="H272" s="28" t="n">
        <f aca="false">IF(G272="","",$A272+VLOOKUP(D272,Schichten!$A$5:$G$24,4,FALSE())+IF(VLOOKUP(D272,Schichten!$A$5:$G$24,4,FALSE())&lt;=VLOOKUP(D272,Schichten!$A$5:$G$24,3,FALSE()),1,0))</f>
        <v>46655.5833333333</v>
      </c>
      <c r="I272" s="28" t="n">
        <f aca="false">IF($A272="","",IF(N(E271)&gt;0,H271,I271))</f>
        <v>46653.25</v>
      </c>
      <c r="J272" s="27" t="n">
        <f aca="false">IF(OR(G272="",I272=""),"",(G272-I272)*24)</f>
        <v>48</v>
      </c>
      <c r="K272" s="21" t="n">
        <f aca="false">IF($A272="","",IF(N(E272)&gt;0,N(K271)+1,0))</f>
        <v>1</v>
      </c>
      <c r="L272" s="21" t="n">
        <f aca="false">IF($A272="","",IF(N(F272)&gt;0,N(L271)+1,0))</f>
        <v>0</v>
      </c>
      <c r="M272" s="21" t="str">
        <f aca="false">IF($A272="","",IF(WEEKDAY($A272,2)&lt;&gt;7,"",IF(AND(OR(G272="",N(G272)&gt;=$A272+16/24,N(H272)&lt;=$A272+6/24),OR(I272="",N(I272)&lt;=$A272+6/24)),1,0)))</f>
        <v/>
      </c>
      <c r="N272" s="26" t="str">
        <f aca="false">IF($A272="","",IF(INDEX(Muster!$C$7:$BF$7,1,MOD($A272-Einstellungen!$C$6,Einstellungen!$C$7)+1)="","-",INDEX(Muster!$C$7:$BF$7,1,MOD($A272-Einstellungen!$C$6,Einstellungen!$C$7)+1)))</f>
        <v>-</v>
      </c>
      <c r="O272" s="27" t="n">
        <f aca="false">IF($A272="","",IFERROR(VLOOKUP(N272,Schichten!$A$5:$G$24,6,FALSE()),0))</f>
        <v>0</v>
      </c>
      <c r="P272" s="27" t="n">
        <f aca="false">IF($A272="","",IFERROR(VLOOKUP(N272,Schichten!$A$5:$G$24,7,FALSE()),0))</f>
        <v>0</v>
      </c>
      <c r="Q272" s="28" t="str">
        <f aca="false">IF($A272="","",IF(N(O272)=0,"",$A272+VLOOKUP(N272,Schichten!$A$5:$G$24,3,FALSE())))</f>
        <v/>
      </c>
      <c r="R272" s="28" t="str">
        <f aca="false">IF(Q272="","",$A272+VLOOKUP(N272,Schichten!$A$5:$G$24,4,FALSE())+IF(VLOOKUP(N272,Schichten!$A$5:$G$24,4,FALSE())&lt;=VLOOKUP(N272,Schichten!$A$5:$G$24,3,FALSE()),1,0))</f>
        <v/>
      </c>
      <c r="S272" s="28" t="n">
        <f aca="false">IF($A272="","",IF(N(O271)&gt;0,R271,S271))</f>
        <v>46655.25</v>
      </c>
      <c r="T272" s="27" t="str">
        <f aca="false">IF(OR(Q272="",S272=""),"",(Q272-S272)*24)</f>
        <v/>
      </c>
      <c r="U272" s="21" t="n">
        <f aca="false">IF($A272="","",IF(N(O272)&gt;0,N(U271)+1,0))</f>
        <v>0</v>
      </c>
      <c r="V272" s="21" t="n">
        <f aca="false">IF($A272="","",IF(N(P272)&gt;0,N(V271)+1,0))</f>
        <v>0</v>
      </c>
      <c r="W272" s="21" t="str">
        <f aca="false">IF($A272="","",IF(WEEKDAY($A272,2)&lt;&gt;7,"",IF(AND(OR(Q272="",N(Q272)&gt;=$A272+16/24,N(R272)&lt;=$A272+6/24),OR(S272="",N(S272)&lt;=$A272+6/24)),1,0)))</f>
        <v/>
      </c>
      <c r="X272" s="26" t="str">
        <f aca="false">IF($A272="","",IF(INDEX(Muster!$C$8:$BF$8,1,MOD($A272-Einstellungen!$C$6,Einstellungen!$C$7)+1)="","-",INDEX(Muster!$C$8:$BF$8,1,MOD($A272-Einstellungen!$C$6,Einstellungen!$C$7)+1)))</f>
        <v>N</v>
      </c>
      <c r="Y272" s="27" t="n">
        <f aca="false">IF($A272="","",IFERROR(VLOOKUP(X272,Schichten!$A$5:$G$24,6,FALSE()),0))</f>
        <v>8</v>
      </c>
      <c r="Z272" s="27" t="n">
        <f aca="false">IF($A272="","",IFERROR(VLOOKUP(X272,Schichten!$A$5:$G$24,7,FALSE()),0))</f>
        <v>7</v>
      </c>
      <c r="AA272" s="28" t="n">
        <f aca="false">IF($A272="","",IF(N(Y272)=0,"",$A272+VLOOKUP(X272,Schichten!$A$5:$G$24,3,FALSE())))</f>
        <v>46655.9166666667</v>
      </c>
      <c r="AB272" s="28" t="n">
        <f aca="false">IF(AA272="","",$A272+VLOOKUP(X272,Schichten!$A$5:$G$24,4,FALSE())+IF(VLOOKUP(X272,Schichten!$A$5:$G$24,4,FALSE())&lt;=VLOOKUP(X272,Schichten!$A$5:$G$24,3,FALSE()),1,0))</f>
        <v>46656.25</v>
      </c>
      <c r="AC272" s="28" t="n">
        <f aca="false">IF($A272="","",IF(N(Y271)&gt;0,AB271,AC271))</f>
        <v>46654.9166666667</v>
      </c>
      <c r="AD272" s="27" t="n">
        <f aca="false">IF(OR(AA272="",AC272=""),"",(AA272-AC272)*24)</f>
        <v>24</v>
      </c>
      <c r="AE272" s="21" t="n">
        <f aca="false">IF($A272="","",IF(N(Y272)&gt;0,N(AE271)+1,0))</f>
        <v>5</v>
      </c>
      <c r="AF272" s="21" t="n">
        <f aca="false">IF($A272="","",IF(N(Z272)&gt;0,N(AF271)+1,0))</f>
        <v>1</v>
      </c>
      <c r="AG272" s="21" t="str">
        <f aca="false">IF($A272="","",IF(WEEKDAY($A272,2)&lt;&gt;7,"",IF(AND(OR(AA272="",N(AA272)&gt;=$A272+16/24,N(AB272)&lt;=$A272+6/24),OR(AC272="",N(AC272)&lt;=$A272+6/24)),1,0)))</f>
        <v/>
      </c>
      <c r="AH272" s="26" t="str">
        <f aca="false">IF($A272="","",IF(INDEX(Muster!$C$9:$BF$9,1,MOD($A272-Einstellungen!$C$6,Einstellungen!$C$7)+1)="","-",INDEX(Muster!$C$9:$BF$9,1,MOD($A272-Einstellungen!$C$6,Einstellungen!$C$7)+1)))</f>
        <v>S</v>
      </c>
      <c r="AI272" s="27" t="n">
        <f aca="false">IF($A272="","",IFERROR(VLOOKUP(AH272,Schichten!$A$5:$G$24,6,FALSE()),0))</f>
        <v>8</v>
      </c>
      <c r="AJ272" s="27" t="n">
        <f aca="false">IF($A272="","",IFERROR(VLOOKUP(AH272,Schichten!$A$5:$G$24,7,FALSE()),0))</f>
        <v>0</v>
      </c>
      <c r="AK272" s="28" t="n">
        <f aca="false">IF($A272="","",IF(N(AI272)=0,"",$A272+VLOOKUP(AH272,Schichten!$A$5:$G$24,3,FALSE())))</f>
        <v>46655.5833333333</v>
      </c>
      <c r="AL272" s="28" t="n">
        <f aca="false">IF(AK272="","",$A272+VLOOKUP(AH272,Schichten!$A$5:$G$24,4,FALSE())+IF(VLOOKUP(AH272,Schichten!$A$5:$G$24,4,FALSE())&lt;=VLOOKUP(AH272,Schichten!$A$5:$G$24,3,FALSE()),1,0))</f>
        <v>46655.9166666667</v>
      </c>
      <c r="AM272" s="28" t="n">
        <f aca="false">IF($A272="","",IF(N(AI271)&gt;0,AL271,AM271))</f>
        <v>46654.5833333333</v>
      </c>
      <c r="AN272" s="27" t="n">
        <f aca="false">IF(OR(AK272="",AM272=""),"",(AK272-AM272)*24)</f>
        <v>24</v>
      </c>
      <c r="AO272" s="21" t="n">
        <f aca="false">IF($A272="","",IF(N(AI272)&gt;0,N(AO271)+1,0))</f>
        <v>3</v>
      </c>
      <c r="AP272" s="21" t="n">
        <f aca="false">IF($A272="","",IF(N(AJ272)&gt;0,N(AP271)+1,0))</f>
        <v>0</v>
      </c>
      <c r="AQ272" s="21" t="str">
        <f aca="false">IF($A272="","",IF(WEEKDAY($A272,2)&lt;&gt;7,"",IF(AND(OR(AK272="",N(AK272)&gt;=$A272+16/24,N(AL272)&lt;=$A272+6/24),OR(AM272="",N(AM272)&lt;=$A272+6/24)),1,0)))</f>
        <v/>
      </c>
      <c r="AR272" s="26" t="str">
        <f aca="false">IF($A272="","",IF(INDEX(Muster!$C$10:$BF$10,1,MOD($A272-Einstellungen!$C$6,Einstellungen!$C$7)+1)="","-",INDEX(Muster!$C$10:$BF$10,1,MOD($A272-Einstellungen!$C$6,Einstellungen!$C$7)+1)))</f>
        <v>-</v>
      </c>
      <c r="AS272" s="27" t="n">
        <f aca="false">IF($A272="","",IFERROR(VLOOKUP(AR272,Schichten!$A$5:$G$24,6,FALSE()),0))</f>
        <v>0</v>
      </c>
      <c r="AT272" s="27" t="n">
        <f aca="false">IF($A272="","",IFERROR(VLOOKUP(AR272,Schichten!$A$5:$G$24,7,FALSE()),0))</f>
        <v>0</v>
      </c>
      <c r="AU272" s="28" t="str">
        <f aca="false">IF($A272="","",IF(N(AS272)=0,"",$A272+VLOOKUP(AR272,Schichten!$A$5:$G$24,3,FALSE())))</f>
        <v/>
      </c>
      <c r="AV272" s="28" t="str">
        <f aca="false">IF(AU272="","",$A272+VLOOKUP(AR272,Schichten!$A$5:$G$24,4,FALSE())+IF(VLOOKUP(AR272,Schichten!$A$5:$G$24,4,FALSE())&lt;=VLOOKUP(AR272,Schichten!$A$5:$G$24,3,FALSE()),1,0))</f>
        <v/>
      </c>
      <c r="AW272" s="28" t="str">
        <f aca="false">IF($A272="","",IF(N(AS271)&gt;0,AV271,AW271))</f>
        <v/>
      </c>
      <c r="AX272" s="27" t="str">
        <f aca="false">IF(OR(AU272="",AW272=""),"",(AU272-AW272)*24)</f>
        <v/>
      </c>
      <c r="AY272" s="21" t="n">
        <f aca="false">IF($A272="","",IF(N(AS272)&gt;0,N(AY271)+1,0))</f>
        <v>0</v>
      </c>
      <c r="AZ272" s="21" t="n">
        <f aca="false">IF($A272="","",IF(N(AT272)&gt;0,N(AZ271)+1,0))</f>
        <v>0</v>
      </c>
      <c r="BA272" s="21" t="str">
        <f aca="false">IF($A272="","",IF(WEEKDAY($A272,2)&lt;&gt;7,"",IF(AND(OR(AU272="",N(AU272)&gt;=$A272+16/24,N(AV272)&lt;=$A272+6/24),OR(AW272="",N(AW272)&lt;=$A272+6/24)),1,0)))</f>
        <v/>
      </c>
    </row>
    <row r="273" customFormat="false" ht="15" hidden="false" customHeight="false" outlineLevel="0" collapsed="false">
      <c r="A273" s="25" t="n">
        <f aca="false">IF(YEAR(DATE(Einstellungen!$C$4,1,1)+268)=Einstellungen!$C$4,DATE(Einstellungen!$C$4,1,1)+268,"")</f>
        <v>46656</v>
      </c>
      <c r="B273" s="26" t="str">
        <f aca="false">IF($A273="","",CHOOSE(WEEKDAY($A273,2),"Mo","Di","Mi","Do","Fr","Sa","So"))</f>
        <v>So</v>
      </c>
      <c r="C273" s="26" t="n">
        <f aca="false">IF($A273="","",MONTH($A273))</f>
        <v>9</v>
      </c>
      <c r="D273" s="26" t="str">
        <f aca="false">IF($A273="","",IF(INDEX(Muster!$C$6:$BF$6,1,MOD($A273-Einstellungen!$C$6,Einstellungen!$C$7)+1)="","-",INDEX(Muster!$C$6:$BF$6,1,MOD($A273-Einstellungen!$C$6,Einstellungen!$C$7)+1)))</f>
        <v>F</v>
      </c>
      <c r="E273" s="27" t="n">
        <f aca="false">IF($A273="","",IFERROR(VLOOKUP(D273,Schichten!$A$5:$G$24,6,FALSE()),0))</f>
        <v>8</v>
      </c>
      <c r="F273" s="27" t="n">
        <f aca="false">IF($A273="","",IFERROR(VLOOKUP(D273,Schichten!$A$5:$G$24,7,FALSE()),0))</f>
        <v>0</v>
      </c>
      <c r="G273" s="28" t="n">
        <f aca="false">IF($A273="","",IF(N(E273)=0,"",$A273+VLOOKUP(D273,Schichten!$A$5:$G$24,3,FALSE())))</f>
        <v>46656.25</v>
      </c>
      <c r="H273" s="28" t="n">
        <f aca="false">IF(G273="","",$A273+VLOOKUP(D273,Schichten!$A$5:$G$24,4,FALSE())+IF(VLOOKUP(D273,Schichten!$A$5:$G$24,4,FALSE())&lt;=VLOOKUP(D273,Schichten!$A$5:$G$24,3,FALSE()),1,0))</f>
        <v>46656.5833333333</v>
      </c>
      <c r="I273" s="28" t="n">
        <f aca="false">IF($A273="","",IF(N(E272)&gt;0,H272,I272))</f>
        <v>46655.5833333333</v>
      </c>
      <c r="J273" s="27" t="n">
        <f aca="false">IF(OR(G273="",I273=""),"",(G273-I273)*24)</f>
        <v>16</v>
      </c>
      <c r="K273" s="21" t="n">
        <f aca="false">IF($A273="","",IF(N(E273)&gt;0,N(K272)+1,0))</f>
        <v>2</v>
      </c>
      <c r="L273" s="21" t="n">
        <f aca="false">IF($A273="","",IF(N(F273)&gt;0,N(L272)+1,0))</f>
        <v>0</v>
      </c>
      <c r="M273" s="21" t="n">
        <f aca="false">IF($A273="","",IF(WEEKDAY($A273,2)&lt;&gt;7,"",IF(AND(OR(G273="",N(G273)&gt;=$A273+16/24,N(H273)&lt;=$A273+6/24),OR(I273="",N(I273)&lt;=$A273+6/24)),1,0)))</f>
        <v>0</v>
      </c>
      <c r="N273" s="26" t="str">
        <f aca="false">IF($A273="","",IF(INDEX(Muster!$C$7:$BF$7,1,MOD($A273-Einstellungen!$C$6,Einstellungen!$C$7)+1)="","-",INDEX(Muster!$C$7:$BF$7,1,MOD($A273-Einstellungen!$C$6,Einstellungen!$C$7)+1)))</f>
        <v>-</v>
      </c>
      <c r="O273" s="27" t="n">
        <f aca="false">IF($A273="","",IFERROR(VLOOKUP(N273,Schichten!$A$5:$G$24,6,FALSE()),0))</f>
        <v>0</v>
      </c>
      <c r="P273" s="27" t="n">
        <f aca="false">IF($A273="","",IFERROR(VLOOKUP(N273,Schichten!$A$5:$G$24,7,FALSE()),0))</f>
        <v>0</v>
      </c>
      <c r="Q273" s="28" t="str">
        <f aca="false">IF($A273="","",IF(N(O273)=0,"",$A273+VLOOKUP(N273,Schichten!$A$5:$G$24,3,FALSE())))</f>
        <v/>
      </c>
      <c r="R273" s="28" t="str">
        <f aca="false">IF(Q273="","",$A273+VLOOKUP(N273,Schichten!$A$5:$G$24,4,FALSE())+IF(VLOOKUP(N273,Schichten!$A$5:$G$24,4,FALSE())&lt;=VLOOKUP(N273,Schichten!$A$5:$G$24,3,FALSE()),1,0))</f>
        <v/>
      </c>
      <c r="S273" s="28" t="n">
        <f aca="false">IF($A273="","",IF(N(O272)&gt;0,R272,S272))</f>
        <v>46655.25</v>
      </c>
      <c r="T273" s="27" t="str">
        <f aca="false">IF(OR(Q273="",S273=""),"",(Q273-S273)*24)</f>
        <v/>
      </c>
      <c r="U273" s="21" t="n">
        <f aca="false">IF($A273="","",IF(N(O273)&gt;0,N(U272)+1,0))</f>
        <v>0</v>
      </c>
      <c r="V273" s="21" t="n">
        <f aca="false">IF($A273="","",IF(N(P273)&gt;0,N(V272)+1,0))</f>
        <v>0</v>
      </c>
      <c r="W273" s="21" t="n">
        <f aca="false">IF($A273="","",IF(WEEKDAY($A273,2)&lt;&gt;7,"",IF(AND(OR(Q273="",N(Q273)&gt;=$A273+16/24,N(R273)&lt;=$A273+6/24),OR(S273="",N(S273)&lt;=$A273+6/24)),1,0)))</f>
        <v>1</v>
      </c>
      <c r="X273" s="26" t="str">
        <f aca="false">IF($A273="","",IF(INDEX(Muster!$C$8:$BF$8,1,MOD($A273-Einstellungen!$C$6,Einstellungen!$C$7)+1)="","-",INDEX(Muster!$C$8:$BF$8,1,MOD($A273-Einstellungen!$C$6,Einstellungen!$C$7)+1)))</f>
        <v>N</v>
      </c>
      <c r="Y273" s="27" t="n">
        <f aca="false">IF($A273="","",IFERROR(VLOOKUP(X273,Schichten!$A$5:$G$24,6,FALSE()),0))</f>
        <v>8</v>
      </c>
      <c r="Z273" s="27" t="n">
        <f aca="false">IF($A273="","",IFERROR(VLOOKUP(X273,Schichten!$A$5:$G$24,7,FALSE()),0))</f>
        <v>7</v>
      </c>
      <c r="AA273" s="28" t="n">
        <f aca="false">IF($A273="","",IF(N(Y273)=0,"",$A273+VLOOKUP(X273,Schichten!$A$5:$G$24,3,FALSE())))</f>
        <v>46656.9166666667</v>
      </c>
      <c r="AB273" s="28" t="n">
        <f aca="false">IF(AA273="","",$A273+VLOOKUP(X273,Schichten!$A$5:$G$24,4,FALSE())+IF(VLOOKUP(X273,Schichten!$A$5:$G$24,4,FALSE())&lt;=VLOOKUP(X273,Schichten!$A$5:$G$24,3,FALSE()),1,0))</f>
        <v>46657.25</v>
      </c>
      <c r="AC273" s="28" t="n">
        <f aca="false">IF($A273="","",IF(N(Y272)&gt;0,AB272,AC272))</f>
        <v>46656.25</v>
      </c>
      <c r="AD273" s="27" t="n">
        <f aca="false">IF(OR(AA273="",AC273=""),"",(AA273-AC273)*24)</f>
        <v>16</v>
      </c>
      <c r="AE273" s="21" t="n">
        <f aca="false">IF($A273="","",IF(N(Y273)&gt;0,N(AE272)+1,0))</f>
        <v>6</v>
      </c>
      <c r="AF273" s="21" t="n">
        <f aca="false">IF($A273="","",IF(N(Z273)&gt;0,N(AF272)+1,0))</f>
        <v>2</v>
      </c>
      <c r="AG273" s="21" t="n">
        <f aca="false">IF($A273="","",IF(WEEKDAY($A273,2)&lt;&gt;7,"",IF(AND(OR(AA273="",N(AA273)&gt;=$A273+16/24,N(AB273)&lt;=$A273+6/24),OR(AC273="",N(AC273)&lt;=$A273+6/24)),1,0)))</f>
        <v>1</v>
      </c>
      <c r="AH273" s="26" t="str">
        <f aca="false">IF($A273="","",IF(INDEX(Muster!$C$9:$BF$9,1,MOD($A273-Einstellungen!$C$6,Einstellungen!$C$7)+1)="","-",INDEX(Muster!$C$9:$BF$9,1,MOD($A273-Einstellungen!$C$6,Einstellungen!$C$7)+1)))</f>
        <v>S</v>
      </c>
      <c r="AI273" s="27" t="n">
        <f aca="false">IF($A273="","",IFERROR(VLOOKUP(AH273,Schichten!$A$5:$G$24,6,FALSE()),0))</f>
        <v>8</v>
      </c>
      <c r="AJ273" s="27" t="n">
        <f aca="false">IF($A273="","",IFERROR(VLOOKUP(AH273,Schichten!$A$5:$G$24,7,FALSE()),0))</f>
        <v>0</v>
      </c>
      <c r="AK273" s="28" t="n">
        <f aca="false">IF($A273="","",IF(N(AI273)=0,"",$A273+VLOOKUP(AH273,Schichten!$A$5:$G$24,3,FALSE())))</f>
        <v>46656.5833333333</v>
      </c>
      <c r="AL273" s="28" t="n">
        <f aca="false">IF(AK273="","",$A273+VLOOKUP(AH273,Schichten!$A$5:$G$24,4,FALSE())+IF(VLOOKUP(AH273,Schichten!$A$5:$G$24,4,FALSE())&lt;=VLOOKUP(AH273,Schichten!$A$5:$G$24,3,FALSE()),1,0))</f>
        <v>46656.9166666667</v>
      </c>
      <c r="AM273" s="28" t="n">
        <f aca="false">IF($A273="","",IF(N(AI272)&gt;0,AL272,AM272))</f>
        <v>46655.9166666667</v>
      </c>
      <c r="AN273" s="27" t="n">
        <f aca="false">IF(OR(AK273="",AM273=""),"",(AK273-AM273)*24)</f>
        <v>16</v>
      </c>
      <c r="AO273" s="21" t="n">
        <f aca="false">IF($A273="","",IF(N(AI273)&gt;0,N(AO272)+1,0))</f>
        <v>4</v>
      </c>
      <c r="AP273" s="21" t="n">
        <f aca="false">IF($A273="","",IF(N(AJ273)&gt;0,N(AP272)+1,0))</f>
        <v>0</v>
      </c>
      <c r="AQ273" s="21" t="n">
        <f aca="false">IF($A273="","",IF(WEEKDAY($A273,2)&lt;&gt;7,"",IF(AND(OR(AK273="",N(AK273)&gt;=$A273+16/24,N(AL273)&lt;=$A273+6/24),OR(AM273="",N(AM273)&lt;=$A273+6/24)),1,0)))</f>
        <v>0</v>
      </c>
      <c r="AR273" s="26" t="str">
        <f aca="false">IF($A273="","",IF(INDEX(Muster!$C$10:$BF$10,1,MOD($A273-Einstellungen!$C$6,Einstellungen!$C$7)+1)="","-",INDEX(Muster!$C$10:$BF$10,1,MOD($A273-Einstellungen!$C$6,Einstellungen!$C$7)+1)))</f>
        <v>-</v>
      </c>
      <c r="AS273" s="27" t="n">
        <f aca="false">IF($A273="","",IFERROR(VLOOKUP(AR273,Schichten!$A$5:$G$24,6,FALSE()),0))</f>
        <v>0</v>
      </c>
      <c r="AT273" s="27" t="n">
        <f aca="false">IF($A273="","",IFERROR(VLOOKUP(AR273,Schichten!$A$5:$G$24,7,FALSE()),0))</f>
        <v>0</v>
      </c>
      <c r="AU273" s="28" t="str">
        <f aca="false">IF($A273="","",IF(N(AS273)=0,"",$A273+VLOOKUP(AR273,Schichten!$A$5:$G$24,3,FALSE())))</f>
        <v/>
      </c>
      <c r="AV273" s="28" t="str">
        <f aca="false">IF(AU273="","",$A273+VLOOKUP(AR273,Schichten!$A$5:$G$24,4,FALSE())+IF(VLOOKUP(AR273,Schichten!$A$5:$G$24,4,FALSE())&lt;=VLOOKUP(AR273,Schichten!$A$5:$G$24,3,FALSE()),1,0))</f>
        <v/>
      </c>
      <c r="AW273" s="28" t="str">
        <f aca="false">IF($A273="","",IF(N(AS272)&gt;0,AV272,AW272))</f>
        <v/>
      </c>
      <c r="AX273" s="27" t="str">
        <f aca="false">IF(OR(AU273="",AW273=""),"",(AU273-AW273)*24)</f>
        <v/>
      </c>
      <c r="AY273" s="21" t="n">
        <f aca="false">IF($A273="","",IF(N(AS273)&gt;0,N(AY272)+1,0))</f>
        <v>0</v>
      </c>
      <c r="AZ273" s="21" t="n">
        <f aca="false">IF($A273="","",IF(N(AT273)&gt;0,N(AZ272)+1,0))</f>
        <v>0</v>
      </c>
      <c r="BA273" s="21" t="n">
        <f aca="false">IF($A273="","",IF(WEEKDAY($A273,2)&lt;&gt;7,"",IF(AND(OR(AU273="",N(AU273)&gt;=$A273+16/24,N(AV273)&lt;=$A273+6/24),OR(AW273="",N(AW273)&lt;=$A273+6/24)),1,0)))</f>
        <v>1</v>
      </c>
    </row>
    <row r="274" customFormat="false" ht="15" hidden="false" customHeight="false" outlineLevel="0" collapsed="false">
      <c r="A274" s="25" t="n">
        <f aca="false">IF(YEAR(DATE(Einstellungen!$C$4,1,1)+269)=Einstellungen!$C$4,DATE(Einstellungen!$C$4,1,1)+269,"")</f>
        <v>46657</v>
      </c>
      <c r="B274" s="26" t="str">
        <f aca="false">IF($A274="","",CHOOSE(WEEKDAY($A274,2),"Mo","Di","Mi","Do","Fr","Sa","So"))</f>
        <v>Mo</v>
      </c>
      <c r="C274" s="26" t="n">
        <f aca="false">IF($A274="","",MONTH($A274))</f>
        <v>9</v>
      </c>
      <c r="D274" s="26" t="str">
        <f aca="false">IF($A274="","",IF(INDEX(Muster!$C$6:$BF$6,1,MOD($A274-Einstellungen!$C$6,Einstellungen!$C$7)+1)="","-",INDEX(Muster!$C$6:$BF$6,1,MOD($A274-Einstellungen!$C$6,Einstellungen!$C$7)+1)))</f>
        <v>S</v>
      </c>
      <c r="E274" s="27" t="n">
        <f aca="false">IF($A274="","",IFERROR(VLOOKUP(D274,Schichten!$A$5:$G$24,6,FALSE()),0))</f>
        <v>8</v>
      </c>
      <c r="F274" s="27" t="n">
        <f aca="false">IF($A274="","",IFERROR(VLOOKUP(D274,Schichten!$A$5:$G$24,7,FALSE()),0))</f>
        <v>0</v>
      </c>
      <c r="G274" s="28" t="n">
        <f aca="false">IF($A274="","",IF(N(E274)=0,"",$A274+VLOOKUP(D274,Schichten!$A$5:$G$24,3,FALSE())))</f>
        <v>46657.5833333333</v>
      </c>
      <c r="H274" s="28" t="n">
        <f aca="false">IF(G274="","",$A274+VLOOKUP(D274,Schichten!$A$5:$G$24,4,FALSE())+IF(VLOOKUP(D274,Schichten!$A$5:$G$24,4,FALSE())&lt;=VLOOKUP(D274,Schichten!$A$5:$G$24,3,FALSE()),1,0))</f>
        <v>46657.9166666667</v>
      </c>
      <c r="I274" s="28" t="n">
        <f aca="false">IF($A274="","",IF(N(E273)&gt;0,H273,I273))</f>
        <v>46656.5833333333</v>
      </c>
      <c r="J274" s="27" t="n">
        <f aca="false">IF(OR(G274="",I274=""),"",(G274-I274)*24)</f>
        <v>24</v>
      </c>
      <c r="K274" s="21" t="n">
        <f aca="false">IF($A274="","",IF(N(E274)&gt;0,N(K273)+1,0))</f>
        <v>3</v>
      </c>
      <c r="L274" s="21" t="n">
        <f aca="false">IF($A274="","",IF(N(F274)&gt;0,N(L273)+1,0))</f>
        <v>0</v>
      </c>
      <c r="M274" s="21" t="str">
        <f aca="false">IF($A274="","",IF(WEEKDAY($A274,2)&lt;&gt;7,"",IF(AND(OR(G274="",N(G274)&gt;=$A274+16/24,N(H274)&lt;=$A274+6/24),OR(I274="",N(I274)&lt;=$A274+6/24)),1,0)))</f>
        <v/>
      </c>
      <c r="N274" s="26" t="str">
        <f aca="false">IF($A274="","",IF(INDEX(Muster!$C$7:$BF$7,1,MOD($A274-Einstellungen!$C$6,Einstellungen!$C$7)+1)="","-",INDEX(Muster!$C$7:$BF$7,1,MOD($A274-Einstellungen!$C$6,Einstellungen!$C$7)+1)))</f>
        <v>F</v>
      </c>
      <c r="O274" s="27" t="n">
        <f aca="false">IF($A274="","",IFERROR(VLOOKUP(N274,Schichten!$A$5:$G$24,6,FALSE()),0))</f>
        <v>8</v>
      </c>
      <c r="P274" s="27" t="n">
        <f aca="false">IF($A274="","",IFERROR(VLOOKUP(N274,Schichten!$A$5:$G$24,7,FALSE()),0))</f>
        <v>0</v>
      </c>
      <c r="Q274" s="28" t="n">
        <f aca="false">IF($A274="","",IF(N(O274)=0,"",$A274+VLOOKUP(N274,Schichten!$A$5:$G$24,3,FALSE())))</f>
        <v>46657.25</v>
      </c>
      <c r="R274" s="28" t="n">
        <f aca="false">IF(Q274="","",$A274+VLOOKUP(N274,Schichten!$A$5:$G$24,4,FALSE())+IF(VLOOKUP(N274,Schichten!$A$5:$G$24,4,FALSE())&lt;=VLOOKUP(N274,Schichten!$A$5:$G$24,3,FALSE()),1,0))</f>
        <v>46657.5833333333</v>
      </c>
      <c r="S274" s="28" t="n">
        <f aca="false">IF($A274="","",IF(N(O273)&gt;0,R273,S273))</f>
        <v>46655.25</v>
      </c>
      <c r="T274" s="27" t="n">
        <f aca="false">IF(OR(Q274="",S274=""),"",(Q274-S274)*24)</f>
        <v>48</v>
      </c>
      <c r="U274" s="21" t="n">
        <f aca="false">IF($A274="","",IF(N(O274)&gt;0,N(U273)+1,0))</f>
        <v>1</v>
      </c>
      <c r="V274" s="21" t="n">
        <f aca="false">IF($A274="","",IF(N(P274)&gt;0,N(V273)+1,0))</f>
        <v>0</v>
      </c>
      <c r="W274" s="21" t="str">
        <f aca="false">IF($A274="","",IF(WEEKDAY($A274,2)&lt;&gt;7,"",IF(AND(OR(Q274="",N(Q274)&gt;=$A274+16/24,N(R274)&lt;=$A274+6/24),OR(S274="",N(S274)&lt;=$A274+6/24)),1,0)))</f>
        <v/>
      </c>
      <c r="X274" s="26" t="str">
        <f aca="false">IF($A274="","",IF(INDEX(Muster!$C$8:$BF$8,1,MOD($A274-Einstellungen!$C$6,Einstellungen!$C$7)+1)="","-",INDEX(Muster!$C$8:$BF$8,1,MOD($A274-Einstellungen!$C$6,Einstellungen!$C$7)+1)))</f>
        <v>-</v>
      </c>
      <c r="Y274" s="27" t="n">
        <f aca="false">IF($A274="","",IFERROR(VLOOKUP(X274,Schichten!$A$5:$G$24,6,FALSE()),0))</f>
        <v>0</v>
      </c>
      <c r="Z274" s="27" t="n">
        <f aca="false">IF($A274="","",IFERROR(VLOOKUP(X274,Schichten!$A$5:$G$24,7,FALSE()),0))</f>
        <v>0</v>
      </c>
      <c r="AA274" s="28" t="str">
        <f aca="false">IF($A274="","",IF(N(Y274)=0,"",$A274+VLOOKUP(X274,Schichten!$A$5:$G$24,3,FALSE())))</f>
        <v/>
      </c>
      <c r="AB274" s="28" t="str">
        <f aca="false">IF(AA274="","",$A274+VLOOKUP(X274,Schichten!$A$5:$G$24,4,FALSE())+IF(VLOOKUP(X274,Schichten!$A$5:$G$24,4,FALSE())&lt;=VLOOKUP(X274,Schichten!$A$5:$G$24,3,FALSE()),1,0))</f>
        <v/>
      </c>
      <c r="AC274" s="28" t="n">
        <f aca="false">IF($A274="","",IF(N(Y273)&gt;0,AB273,AC273))</f>
        <v>46657.25</v>
      </c>
      <c r="AD274" s="27" t="str">
        <f aca="false">IF(OR(AA274="",AC274=""),"",(AA274-AC274)*24)</f>
        <v/>
      </c>
      <c r="AE274" s="21" t="n">
        <f aca="false">IF($A274="","",IF(N(Y274)&gt;0,N(AE273)+1,0))</f>
        <v>0</v>
      </c>
      <c r="AF274" s="21" t="n">
        <f aca="false">IF($A274="","",IF(N(Z274)&gt;0,N(AF273)+1,0))</f>
        <v>0</v>
      </c>
      <c r="AG274" s="21" t="str">
        <f aca="false">IF($A274="","",IF(WEEKDAY($A274,2)&lt;&gt;7,"",IF(AND(OR(AA274="",N(AA274)&gt;=$A274+16/24,N(AB274)&lt;=$A274+6/24),OR(AC274="",N(AC274)&lt;=$A274+6/24)),1,0)))</f>
        <v/>
      </c>
      <c r="AH274" s="26" t="str">
        <f aca="false">IF($A274="","",IF(INDEX(Muster!$C$9:$BF$9,1,MOD($A274-Einstellungen!$C$6,Einstellungen!$C$7)+1)="","-",INDEX(Muster!$C$9:$BF$9,1,MOD($A274-Einstellungen!$C$6,Einstellungen!$C$7)+1)))</f>
        <v>N</v>
      </c>
      <c r="AI274" s="27" t="n">
        <f aca="false">IF($A274="","",IFERROR(VLOOKUP(AH274,Schichten!$A$5:$G$24,6,FALSE()),0))</f>
        <v>8</v>
      </c>
      <c r="AJ274" s="27" t="n">
        <f aca="false">IF($A274="","",IFERROR(VLOOKUP(AH274,Schichten!$A$5:$G$24,7,FALSE()),0))</f>
        <v>7</v>
      </c>
      <c r="AK274" s="28" t="n">
        <f aca="false">IF($A274="","",IF(N(AI274)=0,"",$A274+VLOOKUP(AH274,Schichten!$A$5:$G$24,3,FALSE())))</f>
        <v>46657.9166666667</v>
      </c>
      <c r="AL274" s="28" t="n">
        <f aca="false">IF(AK274="","",$A274+VLOOKUP(AH274,Schichten!$A$5:$G$24,4,FALSE())+IF(VLOOKUP(AH274,Schichten!$A$5:$G$24,4,FALSE())&lt;=VLOOKUP(AH274,Schichten!$A$5:$G$24,3,FALSE()),1,0))</f>
        <v>46658.25</v>
      </c>
      <c r="AM274" s="28" t="n">
        <f aca="false">IF($A274="","",IF(N(AI273)&gt;0,AL273,AM273))</f>
        <v>46656.9166666667</v>
      </c>
      <c r="AN274" s="27" t="n">
        <f aca="false">IF(OR(AK274="",AM274=""),"",(AK274-AM274)*24)</f>
        <v>24</v>
      </c>
      <c r="AO274" s="21" t="n">
        <f aca="false">IF($A274="","",IF(N(AI274)&gt;0,N(AO273)+1,0))</f>
        <v>5</v>
      </c>
      <c r="AP274" s="21" t="n">
        <f aca="false">IF($A274="","",IF(N(AJ274)&gt;0,N(AP273)+1,0))</f>
        <v>1</v>
      </c>
      <c r="AQ274" s="21" t="str">
        <f aca="false">IF($A274="","",IF(WEEKDAY($A274,2)&lt;&gt;7,"",IF(AND(OR(AK274="",N(AK274)&gt;=$A274+16/24,N(AL274)&lt;=$A274+6/24),OR(AM274="",N(AM274)&lt;=$A274+6/24)),1,0)))</f>
        <v/>
      </c>
      <c r="AR274" s="26" t="str">
        <f aca="false">IF($A274="","",IF(INDEX(Muster!$C$10:$BF$10,1,MOD($A274-Einstellungen!$C$6,Einstellungen!$C$7)+1)="","-",INDEX(Muster!$C$10:$BF$10,1,MOD($A274-Einstellungen!$C$6,Einstellungen!$C$7)+1)))</f>
        <v>-</v>
      </c>
      <c r="AS274" s="27" t="n">
        <f aca="false">IF($A274="","",IFERROR(VLOOKUP(AR274,Schichten!$A$5:$G$24,6,FALSE()),0))</f>
        <v>0</v>
      </c>
      <c r="AT274" s="27" t="n">
        <f aca="false">IF($A274="","",IFERROR(VLOOKUP(AR274,Schichten!$A$5:$G$24,7,FALSE()),0))</f>
        <v>0</v>
      </c>
      <c r="AU274" s="28" t="str">
        <f aca="false">IF($A274="","",IF(N(AS274)=0,"",$A274+VLOOKUP(AR274,Schichten!$A$5:$G$24,3,FALSE())))</f>
        <v/>
      </c>
      <c r="AV274" s="28" t="str">
        <f aca="false">IF(AU274="","",$A274+VLOOKUP(AR274,Schichten!$A$5:$G$24,4,FALSE())+IF(VLOOKUP(AR274,Schichten!$A$5:$G$24,4,FALSE())&lt;=VLOOKUP(AR274,Schichten!$A$5:$G$24,3,FALSE()),1,0))</f>
        <v/>
      </c>
      <c r="AW274" s="28" t="str">
        <f aca="false">IF($A274="","",IF(N(AS273)&gt;0,AV273,AW273))</f>
        <v/>
      </c>
      <c r="AX274" s="27" t="str">
        <f aca="false">IF(OR(AU274="",AW274=""),"",(AU274-AW274)*24)</f>
        <v/>
      </c>
      <c r="AY274" s="21" t="n">
        <f aca="false">IF($A274="","",IF(N(AS274)&gt;0,N(AY273)+1,0))</f>
        <v>0</v>
      </c>
      <c r="AZ274" s="21" t="n">
        <f aca="false">IF($A274="","",IF(N(AT274)&gt;0,N(AZ273)+1,0))</f>
        <v>0</v>
      </c>
      <c r="BA274" s="21" t="str">
        <f aca="false">IF($A274="","",IF(WEEKDAY($A274,2)&lt;&gt;7,"",IF(AND(OR(AU274="",N(AU274)&gt;=$A274+16/24,N(AV274)&lt;=$A274+6/24),OR(AW274="",N(AW274)&lt;=$A274+6/24)),1,0)))</f>
        <v/>
      </c>
    </row>
    <row r="275" customFormat="false" ht="15" hidden="false" customHeight="false" outlineLevel="0" collapsed="false">
      <c r="A275" s="25" t="n">
        <f aca="false">IF(YEAR(DATE(Einstellungen!$C$4,1,1)+270)=Einstellungen!$C$4,DATE(Einstellungen!$C$4,1,1)+270,"")</f>
        <v>46658</v>
      </c>
      <c r="B275" s="26" t="str">
        <f aca="false">IF($A275="","",CHOOSE(WEEKDAY($A275,2),"Mo","Di","Mi","Do","Fr","Sa","So"))</f>
        <v>Di</v>
      </c>
      <c r="C275" s="26" t="n">
        <f aca="false">IF($A275="","",MONTH($A275))</f>
        <v>9</v>
      </c>
      <c r="D275" s="26" t="str">
        <f aca="false">IF($A275="","",IF(INDEX(Muster!$C$6:$BF$6,1,MOD($A275-Einstellungen!$C$6,Einstellungen!$C$7)+1)="","-",INDEX(Muster!$C$6:$BF$6,1,MOD($A275-Einstellungen!$C$6,Einstellungen!$C$7)+1)))</f>
        <v>S</v>
      </c>
      <c r="E275" s="27" t="n">
        <f aca="false">IF($A275="","",IFERROR(VLOOKUP(D275,Schichten!$A$5:$G$24,6,FALSE()),0))</f>
        <v>8</v>
      </c>
      <c r="F275" s="27" t="n">
        <f aca="false">IF($A275="","",IFERROR(VLOOKUP(D275,Schichten!$A$5:$G$24,7,FALSE()),0))</f>
        <v>0</v>
      </c>
      <c r="G275" s="28" t="n">
        <f aca="false">IF($A275="","",IF(N(E275)=0,"",$A275+VLOOKUP(D275,Schichten!$A$5:$G$24,3,FALSE())))</f>
        <v>46658.5833333333</v>
      </c>
      <c r="H275" s="28" t="n">
        <f aca="false">IF(G275="","",$A275+VLOOKUP(D275,Schichten!$A$5:$G$24,4,FALSE())+IF(VLOOKUP(D275,Schichten!$A$5:$G$24,4,FALSE())&lt;=VLOOKUP(D275,Schichten!$A$5:$G$24,3,FALSE()),1,0))</f>
        <v>46658.9166666667</v>
      </c>
      <c r="I275" s="28" t="n">
        <f aca="false">IF($A275="","",IF(N(E274)&gt;0,H274,I274))</f>
        <v>46657.9166666667</v>
      </c>
      <c r="J275" s="27" t="n">
        <f aca="false">IF(OR(G275="",I275=""),"",(G275-I275)*24)</f>
        <v>16</v>
      </c>
      <c r="K275" s="21" t="n">
        <f aca="false">IF($A275="","",IF(N(E275)&gt;0,N(K274)+1,0))</f>
        <v>4</v>
      </c>
      <c r="L275" s="21" t="n">
        <f aca="false">IF($A275="","",IF(N(F275)&gt;0,N(L274)+1,0))</f>
        <v>0</v>
      </c>
      <c r="M275" s="21" t="str">
        <f aca="false">IF($A275="","",IF(WEEKDAY($A275,2)&lt;&gt;7,"",IF(AND(OR(G275="",N(G275)&gt;=$A275+16/24,N(H275)&lt;=$A275+6/24),OR(I275="",N(I275)&lt;=$A275+6/24)),1,0)))</f>
        <v/>
      </c>
      <c r="N275" s="26" t="str">
        <f aca="false">IF($A275="","",IF(INDEX(Muster!$C$7:$BF$7,1,MOD($A275-Einstellungen!$C$6,Einstellungen!$C$7)+1)="","-",INDEX(Muster!$C$7:$BF$7,1,MOD($A275-Einstellungen!$C$6,Einstellungen!$C$7)+1)))</f>
        <v>F</v>
      </c>
      <c r="O275" s="27" t="n">
        <f aca="false">IF($A275="","",IFERROR(VLOOKUP(N275,Schichten!$A$5:$G$24,6,FALSE()),0))</f>
        <v>8</v>
      </c>
      <c r="P275" s="27" t="n">
        <f aca="false">IF($A275="","",IFERROR(VLOOKUP(N275,Schichten!$A$5:$G$24,7,FALSE()),0))</f>
        <v>0</v>
      </c>
      <c r="Q275" s="28" t="n">
        <f aca="false">IF($A275="","",IF(N(O275)=0,"",$A275+VLOOKUP(N275,Schichten!$A$5:$G$24,3,FALSE())))</f>
        <v>46658.25</v>
      </c>
      <c r="R275" s="28" t="n">
        <f aca="false">IF(Q275="","",$A275+VLOOKUP(N275,Schichten!$A$5:$G$24,4,FALSE())+IF(VLOOKUP(N275,Schichten!$A$5:$G$24,4,FALSE())&lt;=VLOOKUP(N275,Schichten!$A$5:$G$24,3,FALSE()),1,0))</f>
        <v>46658.5833333333</v>
      </c>
      <c r="S275" s="28" t="n">
        <f aca="false">IF($A275="","",IF(N(O274)&gt;0,R274,S274))</f>
        <v>46657.5833333333</v>
      </c>
      <c r="T275" s="27" t="n">
        <f aca="false">IF(OR(Q275="",S275=""),"",(Q275-S275)*24)</f>
        <v>16</v>
      </c>
      <c r="U275" s="21" t="n">
        <f aca="false">IF($A275="","",IF(N(O275)&gt;0,N(U274)+1,0))</f>
        <v>2</v>
      </c>
      <c r="V275" s="21" t="n">
        <f aca="false">IF($A275="","",IF(N(P275)&gt;0,N(V274)+1,0))</f>
        <v>0</v>
      </c>
      <c r="W275" s="21" t="str">
        <f aca="false">IF($A275="","",IF(WEEKDAY($A275,2)&lt;&gt;7,"",IF(AND(OR(Q275="",N(Q275)&gt;=$A275+16/24,N(R275)&lt;=$A275+6/24),OR(S275="",N(S275)&lt;=$A275+6/24)),1,0)))</f>
        <v/>
      </c>
      <c r="X275" s="26" t="str">
        <f aca="false">IF($A275="","",IF(INDEX(Muster!$C$8:$BF$8,1,MOD($A275-Einstellungen!$C$6,Einstellungen!$C$7)+1)="","-",INDEX(Muster!$C$8:$BF$8,1,MOD($A275-Einstellungen!$C$6,Einstellungen!$C$7)+1)))</f>
        <v>-</v>
      </c>
      <c r="Y275" s="27" t="n">
        <f aca="false">IF($A275="","",IFERROR(VLOOKUP(X275,Schichten!$A$5:$G$24,6,FALSE()),0))</f>
        <v>0</v>
      </c>
      <c r="Z275" s="27" t="n">
        <f aca="false">IF($A275="","",IFERROR(VLOOKUP(X275,Schichten!$A$5:$G$24,7,FALSE()),0))</f>
        <v>0</v>
      </c>
      <c r="AA275" s="28" t="str">
        <f aca="false">IF($A275="","",IF(N(Y275)=0,"",$A275+VLOOKUP(X275,Schichten!$A$5:$G$24,3,FALSE())))</f>
        <v/>
      </c>
      <c r="AB275" s="28" t="str">
        <f aca="false">IF(AA275="","",$A275+VLOOKUP(X275,Schichten!$A$5:$G$24,4,FALSE())+IF(VLOOKUP(X275,Schichten!$A$5:$G$24,4,FALSE())&lt;=VLOOKUP(X275,Schichten!$A$5:$G$24,3,FALSE()),1,0))</f>
        <v/>
      </c>
      <c r="AC275" s="28" t="n">
        <f aca="false">IF($A275="","",IF(N(Y274)&gt;0,AB274,AC274))</f>
        <v>46657.25</v>
      </c>
      <c r="AD275" s="27" t="str">
        <f aca="false">IF(OR(AA275="",AC275=""),"",(AA275-AC275)*24)</f>
        <v/>
      </c>
      <c r="AE275" s="21" t="n">
        <f aca="false">IF($A275="","",IF(N(Y275)&gt;0,N(AE274)+1,0))</f>
        <v>0</v>
      </c>
      <c r="AF275" s="21" t="n">
        <f aca="false">IF($A275="","",IF(N(Z275)&gt;0,N(AF274)+1,0))</f>
        <v>0</v>
      </c>
      <c r="AG275" s="21" t="str">
        <f aca="false">IF($A275="","",IF(WEEKDAY($A275,2)&lt;&gt;7,"",IF(AND(OR(AA275="",N(AA275)&gt;=$A275+16/24,N(AB275)&lt;=$A275+6/24),OR(AC275="",N(AC275)&lt;=$A275+6/24)),1,0)))</f>
        <v/>
      </c>
      <c r="AH275" s="26" t="str">
        <f aca="false">IF($A275="","",IF(INDEX(Muster!$C$9:$BF$9,1,MOD($A275-Einstellungen!$C$6,Einstellungen!$C$7)+1)="","-",INDEX(Muster!$C$9:$BF$9,1,MOD($A275-Einstellungen!$C$6,Einstellungen!$C$7)+1)))</f>
        <v>N</v>
      </c>
      <c r="AI275" s="27" t="n">
        <f aca="false">IF($A275="","",IFERROR(VLOOKUP(AH275,Schichten!$A$5:$G$24,6,FALSE()),0))</f>
        <v>8</v>
      </c>
      <c r="AJ275" s="27" t="n">
        <f aca="false">IF($A275="","",IFERROR(VLOOKUP(AH275,Schichten!$A$5:$G$24,7,FALSE()),0))</f>
        <v>7</v>
      </c>
      <c r="AK275" s="28" t="n">
        <f aca="false">IF($A275="","",IF(N(AI275)=0,"",$A275+VLOOKUP(AH275,Schichten!$A$5:$G$24,3,FALSE())))</f>
        <v>46658.9166666667</v>
      </c>
      <c r="AL275" s="28" t="n">
        <f aca="false">IF(AK275="","",$A275+VLOOKUP(AH275,Schichten!$A$5:$G$24,4,FALSE())+IF(VLOOKUP(AH275,Schichten!$A$5:$G$24,4,FALSE())&lt;=VLOOKUP(AH275,Schichten!$A$5:$G$24,3,FALSE()),1,0))</f>
        <v>46659.25</v>
      </c>
      <c r="AM275" s="28" t="n">
        <f aca="false">IF($A275="","",IF(N(AI274)&gt;0,AL274,AM274))</f>
        <v>46658.25</v>
      </c>
      <c r="AN275" s="27" t="n">
        <f aca="false">IF(OR(AK275="",AM275=""),"",(AK275-AM275)*24)</f>
        <v>16</v>
      </c>
      <c r="AO275" s="21" t="n">
        <f aca="false">IF($A275="","",IF(N(AI275)&gt;0,N(AO274)+1,0))</f>
        <v>6</v>
      </c>
      <c r="AP275" s="21" t="n">
        <f aca="false">IF($A275="","",IF(N(AJ275)&gt;0,N(AP274)+1,0))</f>
        <v>2</v>
      </c>
      <c r="AQ275" s="21" t="str">
        <f aca="false">IF($A275="","",IF(WEEKDAY($A275,2)&lt;&gt;7,"",IF(AND(OR(AK275="",N(AK275)&gt;=$A275+16/24,N(AL275)&lt;=$A275+6/24),OR(AM275="",N(AM275)&lt;=$A275+6/24)),1,0)))</f>
        <v/>
      </c>
      <c r="AR275" s="26" t="str">
        <f aca="false">IF($A275="","",IF(INDEX(Muster!$C$10:$BF$10,1,MOD($A275-Einstellungen!$C$6,Einstellungen!$C$7)+1)="","-",INDEX(Muster!$C$10:$BF$10,1,MOD($A275-Einstellungen!$C$6,Einstellungen!$C$7)+1)))</f>
        <v>-</v>
      </c>
      <c r="AS275" s="27" t="n">
        <f aca="false">IF($A275="","",IFERROR(VLOOKUP(AR275,Schichten!$A$5:$G$24,6,FALSE()),0))</f>
        <v>0</v>
      </c>
      <c r="AT275" s="27" t="n">
        <f aca="false">IF($A275="","",IFERROR(VLOOKUP(AR275,Schichten!$A$5:$G$24,7,FALSE()),0))</f>
        <v>0</v>
      </c>
      <c r="AU275" s="28" t="str">
        <f aca="false">IF($A275="","",IF(N(AS275)=0,"",$A275+VLOOKUP(AR275,Schichten!$A$5:$G$24,3,FALSE())))</f>
        <v/>
      </c>
      <c r="AV275" s="28" t="str">
        <f aca="false">IF(AU275="","",$A275+VLOOKUP(AR275,Schichten!$A$5:$G$24,4,FALSE())+IF(VLOOKUP(AR275,Schichten!$A$5:$G$24,4,FALSE())&lt;=VLOOKUP(AR275,Schichten!$A$5:$G$24,3,FALSE()),1,0))</f>
        <v/>
      </c>
      <c r="AW275" s="28" t="str">
        <f aca="false">IF($A275="","",IF(N(AS274)&gt;0,AV274,AW274))</f>
        <v/>
      </c>
      <c r="AX275" s="27" t="str">
        <f aca="false">IF(OR(AU275="",AW275=""),"",(AU275-AW275)*24)</f>
        <v/>
      </c>
      <c r="AY275" s="21" t="n">
        <f aca="false">IF($A275="","",IF(N(AS275)&gt;0,N(AY274)+1,0))</f>
        <v>0</v>
      </c>
      <c r="AZ275" s="21" t="n">
        <f aca="false">IF($A275="","",IF(N(AT275)&gt;0,N(AZ274)+1,0))</f>
        <v>0</v>
      </c>
      <c r="BA275" s="21" t="str">
        <f aca="false">IF($A275="","",IF(WEEKDAY($A275,2)&lt;&gt;7,"",IF(AND(OR(AU275="",N(AU275)&gt;=$A275+16/24,N(AV275)&lt;=$A275+6/24),OR(AW275="",N(AW275)&lt;=$A275+6/24)),1,0)))</f>
        <v/>
      </c>
    </row>
    <row r="276" customFormat="false" ht="15" hidden="false" customHeight="false" outlineLevel="0" collapsed="false">
      <c r="A276" s="25" t="n">
        <f aca="false">IF(YEAR(DATE(Einstellungen!$C$4,1,1)+271)=Einstellungen!$C$4,DATE(Einstellungen!$C$4,1,1)+271,"")</f>
        <v>46659</v>
      </c>
      <c r="B276" s="26" t="str">
        <f aca="false">IF($A276="","",CHOOSE(WEEKDAY($A276,2),"Mo","Di","Mi","Do","Fr","Sa","So"))</f>
        <v>Mi</v>
      </c>
      <c r="C276" s="26" t="n">
        <f aca="false">IF($A276="","",MONTH($A276))</f>
        <v>9</v>
      </c>
      <c r="D276" s="26" t="str">
        <f aca="false">IF($A276="","",IF(INDEX(Muster!$C$6:$BF$6,1,MOD($A276-Einstellungen!$C$6,Einstellungen!$C$7)+1)="","-",INDEX(Muster!$C$6:$BF$6,1,MOD($A276-Einstellungen!$C$6,Einstellungen!$C$7)+1)))</f>
        <v>N</v>
      </c>
      <c r="E276" s="27" t="n">
        <f aca="false">IF($A276="","",IFERROR(VLOOKUP(D276,Schichten!$A$5:$G$24,6,FALSE()),0))</f>
        <v>8</v>
      </c>
      <c r="F276" s="27" t="n">
        <f aca="false">IF($A276="","",IFERROR(VLOOKUP(D276,Schichten!$A$5:$G$24,7,FALSE()),0))</f>
        <v>7</v>
      </c>
      <c r="G276" s="28" t="n">
        <f aca="false">IF($A276="","",IF(N(E276)=0,"",$A276+VLOOKUP(D276,Schichten!$A$5:$G$24,3,FALSE())))</f>
        <v>46659.9166666667</v>
      </c>
      <c r="H276" s="28" t="n">
        <f aca="false">IF(G276="","",$A276+VLOOKUP(D276,Schichten!$A$5:$G$24,4,FALSE())+IF(VLOOKUP(D276,Schichten!$A$5:$G$24,4,FALSE())&lt;=VLOOKUP(D276,Schichten!$A$5:$G$24,3,FALSE()),1,0))</f>
        <v>46660.25</v>
      </c>
      <c r="I276" s="28" t="n">
        <f aca="false">IF($A276="","",IF(N(E275)&gt;0,H275,I275))</f>
        <v>46658.9166666667</v>
      </c>
      <c r="J276" s="27" t="n">
        <f aca="false">IF(OR(G276="",I276=""),"",(G276-I276)*24)</f>
        <v>24</v>
      </c>
      <c r="K276" s="21" t="n">
        <f aca="false">IF($A276="","",IF(N(E276)&gt;0,N(K275)+1,0))</f>
        <v>5</v>
      </c>
      <c r="L276" s="21" t="n">
        <f aca="false">IF($A276="","",IF(N(F276)&gt;0,N(L275)+1,0))</f>
        <v>1</v>
      </c>
      <c r="M276" s="21" t="str">
        <f aca="false">IF($A276="","",IF(WEEKDAY($A276,2)&lt;&gt;7,"",IF(AND(OR(G276="",N(G276)&gt;=$A276+16/24,N(H276)&lt;=$A276+6/24),OR(I276="",N(I276)&lt;=$A276+6/24)),1,0)))</f>
        <v/>
      </c>
      <c r="N276" s="26" t="str">
        <f aca="false">IF($A276="","",IF(INDEX(Muster!$C$7:$BF$7,1,MOD($A276-Einstellungen!$C$6,Einstellungen!$C$7)+1)="","-",INDEX(Muster!$C$7:$BF$7,1,MOD($A276-Einstellungen!$C$6,Einstellungen!$C$7)+1)))</f>
        <v>S</v>
      </c>
      <c r="O276" s="27" t="n">
        <f aca="false">IF($A276="","",IFERROR(VLOOKUP(N276,Schichten!$A$5:$G$24,6,FALSE()),0))</f>
        <v>8</v>
      </c>
      <c r="P276" s="27" t="n">
        <f aca="false">IF($A276="","",IFERROR(VLOOKUP(N276,Schichten!$A$5:$G$24,7,FALSE()),0))</f>
        <v>0</v>
      </c>
      <c r="Q276" s="28" t="n">
        <f aca="false">IF($A276="","",IF(N(O276)=0,"",$A276+VLOOKUP(N276,Schichten!$A$5:$G$24,3,FALSE())))</f>
        <v>46659.5833333333</v>
      </c>
      <c r="R276" s="28" t="n">
        <f aca="false">IF(Q276="","",$A276+VLOOKUP(N276,Schichten!$A$5:$G$24,4,FALSE())+IF(VLOOKUP(N276,Schichten!$A$5:$G$24,4,FALSE())&lt;=VLOOKUP(N276,Schichten!$A$5:$G$24,3,FALSE()),1,0))</f>
        <v>46659.9166666667</v>
      </c>
      <c r="S276" s="28" t="n">
        <f aca="false">IF($A276="","",IF(N(O275)&gt;0,R275,S275))</f>
        <v>46658.5833333333</v>
      </c>
      <c r="T276" s="27" t="n">
        <f aca="false">IF(OR(Q276="",S276=""),"",(Q276-S276)*24)</f>
        <v>24</v>
      </c>
      <c r="U276" s="21" t="n">
        <f aca="false">IF($A276="","",IF(N(O276)&gt;0,N(U275)+1,0))</f>
        <v>3</v>
      </c>
      <c r="V276" s="21" t="n">
        <f aca="false">IF($A276="","",IF(N(P276)&gt;0,N(V275)+1,0))</f>
        <v>0</v>
      </c>
      <c r="W276" s="21" t="str">
        <f aca="false">IF($A276="","",IF(WEEKDAY($A276,2)&lt;&gt;7,"",IF(AND(OR(Q276="",N(Q276)&gt;=$A276+16/24,N(R276)&lt;=$A276+6/24),OR(S276="",N(S276)&lt;=$A276+6/24)),1,0)))</f>
        <v/>
      </c>
      <c r="X276" s="26" t="str">
        <f aca="false">IF($A276="","",IF(INDEX(Muster!$C$8:$BF$8,1,MOD($A276-Einstellungen!$C$6,Einstellungen!$C$7)+1)="","-",INDEX(Muster!$C$8:$BF$8,1,MOD($A276-Einstellungen!$C$6,Einstellungen!$C$7)+1)))</f>
        <v>F</v>
      </c>
      <c r="Y276" s="27" t="n">
        <f aca="false">IF($A276="","",IFERROR(VLOOKUP(X276,Schichten!$A$5:$G$24,6,FALSE()),0))</f>
        <v>8</v>
      </c>
      <c r="Z276" s="27" t="n">
        <f aca="false">IF($A276="","",IFERROR(VLOOKUP(X276,Schichten!$A$5:$G$24,7,FALSE()),0))</f>
        <v>0</v>
      </c>
      <c r="AA276" s="28" t="n">
        <f aca="false">IF($A276="","",IF(N(Y276)=0,"",$A276+VLOOKUP(X276,Schichten!$A$5:$G$24,3,FALSE())))</f>
        <v>46659.25</v>
      </c>
      <c r="AB276" s="28" t="n">
        <f aca="false">IF(AA276="","",$A276+VLOOKUP(X276,Schichten!$A$5:$G$24,4,FALSE())+IF(VLOOKUP(X276,Schichten!$A$5:$G$24,4,FALSE())&lt;=VLOOKUP(X276,Schichten!$A$5:$G$24,3,FALSE()),1,0))</f>
        <v>46659.5833333333</v>
      </c>
      <c r="AC276" s="28" t="n">
        <f aca="false">IF($A276="","",IF(N(Y275)&gt;0,AB275,AC275))</f>
        <v>46657.25</v>
      </c>
      <c r="AD276" s="27" t="n">
        <f aca="false">IF(OR(AA276="",AC276=""),"",(AA276-AC276)*24)</f>
        <v>48</v>
      </c>
      <c r="AE276" s="21" t="n">
        <f aca="false">IF($A276="","",IF(N(Y276)&gt;0,N(AE275)+1,0))</f>
        <v>1</v>
      </c>
      <c r="AF276" s="21" t="n">
        <f aca="false">IF($A276="","",IF(N(Z276)&gt;0,N(AF275)+1,0))</f>
        <v>0</v>
      </c>
      <c r="AG276" s="21" t="str">
        <f aca="false">IF($A276="","",IF(WEEKDAY($A276,2)&lt;&gt;7,"",IF(AND(OR(AA276="",N(AA276)&gt;=$A276+16/24,N(AB276)&lt;=$A276+6/24),OR(AC276="",N(AC276)&lt;=$A276+6/24)),1,0)))</f>
        <v/>
      </c>
      <c r="AH276" s="26" t="str">
        <f aca="false">IF($A276="","",IF(INDEX(Muster!$C$9:$BF$9,1,MOD($A276-Einstellungen!$C$6,Einstellungen!$C$7)+1)="","-",INDEX(Muster!$C$9:$BF$9,1,MOD($A276-Einstellungen!$C$6,Einstellungen!$C$7)+1)))</f>
        <v>-</v>
      </c>
      <c r="AI276" s="27" t="n">
        <f aca="false">IF($A276="","",IFERROR(VLOOKUP(AH276,Schichten!$A$5:$G$24,6,FALSE()),0))</f>
        <v>0</v>
      </c>
      <c r="AJ276" s="27" t="n">
        <f aca="false">IF($A276="","",IFERROR(VLOOKUP(AH276,Schichten!$A$5:$G$24,7,FALSE()),0))</f>
        <v>0</v>
      </c>
      <c r="AK276" s="28" t="str">
        <f aca="false">IF($A276="","",IF(N(AI276)=0,"",$A276+VLOOKUP(AH276,Schichten!$A$5:$G$24,3,FALSE())))</f>
        <v/>
      </c>
      <c r="AL276" s="28" t="str">
        <f aca="false">IF(AK276="","",$A276+VLOOKUP(AH276,Schichten!$A$5:$G$24,4,FALSE())+IF(VLOOKUP(AH276,Schichten!$A$5:$G$24,4,FALSE())&lt;=VLOOKUP(AH276,Schichten!$A$5:$G$24,3,FALSE()),1,0))</f>
        <v/>
      </c>
      <c r="AM276" s="28" t="n">
        <f aca="false">IF($A276="","",IF(N(AI275)&gt;0,AL275,AM275))</f>
        <v>46659.25</v>
      </c>
      <c r="AN276" s="27" t="str">
        <f aca="false">IF(OR(AK276="",AM276=""),"",(AK276-AM276)*24)</f>
        <v/>
      </c>
      <c r="AO276" s="21" t="n">
        <f aca="false">IF($A276="","",IF(N(AI276)&gt;0,N(AO275)+1,0))</f>
        <v>0</v>
      </c>
      <c r="AP276" s="21" t="n">
        <f aca="false">IF($A276="","",IF(N(AJ276)&gt;0,N(AP275)+1,0))</f>
        <v>0</v>
      </c>
      <c r="AQ276" s="21" t="str">
        <f aca="false">IF($A276="","",IF(WEEKDAY($A276,2)&lt;&gt;7,"",IF(AND(OR(AK276="",N(AK276)&gt;=$A276+16/24,N(AL276)&lt;=$A276+6/24),OR(AM276="",N(AM276)&lt;=$A276+6/24)),1,0)))</f>
        <v/>
      </c>
      <c r="AR276" s="26" t="str">
        <f aca="false">IF($A276="","",IF(INDEX(Muster!$C$10:$BF$10,1,MOD($A276-Einstellungen!$C$6,Einstellungen!$C$7)+1)="","-",INDEX(Muster!$C$10:$BF$10,1,MOD($A276-Einstellungen!$C$6,Einstellungen!$C$7)+1)))</f>
        <v>-</v>
      </c>
      <c r="AS276" s="27" t="n">
        <f aca="false">IF($A276="","",IFERROR(VLOOKUP(AR276,Schichten!$A$5:$G$24,6,FALSE()),0))</f>
        <v>0</v>
      </c>
      <c r="AT276" s="27" t="n">
        <f aca="false">IF($A276="","",IFERROR(VLOOKUP(AR276,Schichten!$A$5:$G$24,7,FALSE()),0))</f>
        <v>0</v>
      </c>
      <c r="AU276" s="28" t="str">
        <f aca="false">IF($A276="","",IF(N(AS276)=0,"",$A276+VLOOKUP(AR276,Schichten!$A$5:$G$24,3,FALSE())))</f>
        <v/>
      </c>
      <c r="AV276" s="28" t="str">
        <f aca="false">IF(AU276="","",$A276+VLOOKUP(AR276,Schichten!$A$5:$G$24,4,FALSE())+IF(VLOOKUP(AR276,Schichten!$A$5:$G$24,4,FALSE())&lt;=VLOOKUP(AR276,Schichten!$A$5:$G$24,3,FALSE()),1,0))</f>
        <v/>
      </c>
      <c r="AW276" s="28" t="str">
        <f aca="false">IF($A276="","",IF(N(AS275)&gt;0,AV275,AW275))</f>
        <v/>
      </c>
      <c r="AX276" s="27" t="str">
        <f aca="false">IF(OR(AU276="",AW276=""),"",(AU276-AW276)*24)</f>
        <v/>
      </c>
      <c r="AY276" s="21" t="n">
        <f aca="false">IF($A276="","",IF(N(AS276)&gt;0,N(AY275)+1,0))</f>
        <v>0</v>
      </c>
      <c r="AZ276" s="21" t="n">
        <f aca="false">IF($A276="","",IF(N(AT276)&gt;0,N(AZ275)+1,0))</f>
        <v>0</v>
      </c>
      <c r="BA276" s="21" t="str">
        <f aca="false">IF($A276="","",IF(WEEKDAY($A276,2)&lt;&gt;7,"",IF(AND(OR(AU276="",N(AU276)&gt;=$A276+16/24,N(AV276)&lt;=$A276+6/24),OR(AW276="",N(AW276)&lt;=$A276+6/24)),1,0)))</f>
        <v/>
      </c>
    </row>
    <row r="277" customFormat="false" ht="15" hidden="false" customHeight="false" outlineLevel="0" collapsed="false">
      <c r="A277" s="25" t="n">
        <f aca="false">IF(YEAR(DATE(Einstellungen!$C$4,1,1)+272)=Einstellungen!$C$4,DATE(Einstellungen!$C$4,1,1)+272,"")</f>
        <v>46660</v>
      </c>
      <c r="B277" s="26" t="str">
        <f aca="false">IF($A277="","",CHOOSE(WEEKDAY($A277,2),"Mo","Di","Mi","Do","Fr","Sa","So"))</f>
        <v>Do</v>
      </c>
      <c r="C277" s="26" t="n">
        <f aca="false">IF($A277="","",MONTH($A277))</f>
        <v>9</v>
      </c>
      <c r="D277" s="26" t="str">
        <f aca="false">IF($A277="","",IF(INDEX(Muster!$C$6:$BF$6,1,MOD($A277-Einstellungen!$C$6,Einstellungen!$C$7)+1)="","-",INDEX(Muster!$C$6:$BF$6,1,MOD($A277-Einstellungen!$C$6,Einstellungen!$C$7)+1)))</f>
        <v>N</v>
      </c>
      <c r="E277" s="27" t="n">
        <f aca="false">IF($A277="","",IFERROR(VLOOKUP(D277,Schichten!$A$5:$G$24,6,FALSE()),0))</f>
        <v>8</v>
      </c>
      <c r="F277" s="27" t="n">
        <f aca="false">IF($A277="","",IFERROR(VLOOKUP(D277,Schichten!$A$5:$G$24,7,FALSE()),0))</f>
        <v>7</v>
      </c>
      <c r="G277" s="28" t="n">
        <f aca="false">IF($A277="","",IF(N(E277)=0,"",$A277+VLOOKUP(D277,Schichten!$A$5:$G$24,3,FALSE())))</f>
        <v>46660.9166666667</v>
      </c>
      <c r="H277" s="28" t="n">
        <f aca="false">IF(G277="","",$A277+VLOOKUP(D277,Schichten!$A$5:$G$24,4,FALSE())+IF(VLOOKUP(D277,Schichten!$A$5:$G$24,4,FALSE())&lt;=VLOOKUP(D277,Schichten!$A$5:$G$24,3,FALSE()),1,0))</f>
        <v>46661.25</v>
      </c>
      <c r="I277" s="28" t="n">
        <f aca="false">IF($A277="","",IF(N(E276)&gt;0,H276,I276))</f>
        <v>46660.25</v>
      </c>
      <c r="J277" s="27" t="n">
        <f aca="false">IF(OR(G277="",I277=""),"",(G277-I277)*24)</f>
        <v>16</v>
      </c>
      <c r="K277" s="21" t="n">
        <f aca="false">IF($A277="","",IF(N(E277)&gt;0,N(K276)+1,0))</f>
        <v>6</v>
      </c>
      <c r="L277" s="21" t="n">
        <f aca="false">IF($A277="","",IF(N(F277)&gt;0,N(L276)+1,0))</f>
        <v>2</v>
      </c>
      <c r="M277" s="21" t="str">
        <f aca="false">IF($A277="","",IF(WEEKDAY($A277,2)&lt;&gt;7,"",IF(AND(OR(G277="",N(G277)&gt;=$A277+16/24,N(H277)&lt;=$A277+6/24),OR(I277="",N(I277)&lt;=$A277+6/24)),1,0)))</f>
        <v/>
      </c>
      <c r="N277" s="26" t="str">
        <f aca="false">IF($A277="","",IF(INDEX(Muster!$C$7:$BF$7,1,MOD($A277-Einstellungen!$C$6,Einstellungen!$C$7)+1)="","-",INDEX(Muster!$C$7:$BF$7,1,MOD($A277-Einstellungen!$C$6,Einstellungen!$C$7)+1)))</f>
        <v>S</v>
      </c>
      <c r="O277" s="27" t="n">
        <f aca="false">IF($A277="","",IFERROR(VLOOKUP(N277,Schichten!$A$5:$G$24,6,FALSE()),0))</f>
        <v>8</v>
      </c>
      <c r="P277" s="27" t="n">
        <f aca="false">IF($A277="","",IFERROR(VLOOKUP(N277,Schichten!$A$5:$G$24,7,FALSE()),0))</f>
        <v>0</v>
      </c>
      <c r="Q277" s="28" t="n">
        <f aca="false">IF($A277="","",IF(N(O277)=0,"",$A277+VLOOKUP(N277,Schichten!$A$5:$G$24,3,FALSE())))</f>
        <v>46660.5833333333</v>
      </c>
      <c r="R277" s="28" t="n">
        <f aca="false">IF(Q277="","",$A277+VLOOKUP(N277,Schichten!$A$5:$G$24,4,FALSE())+IF(VLOOKUP(N277,Schichten!$A$5:$G$24,4,FALSE())&lt;=VLOOKUP(N277,Schichten!$A$5:$G$24,3,FALSE()),1,0))</f>
        <v>46660.9166666667</v>
      </c>
      <c r="S277" s="28" t="n">
        <f aca="false">IF($A277="","",IF(N(O276)&gt;0,R276,S276))</f>
        <v>46659.9166666667</v>
      </c>
      <c r="T277" s="27" t="n">
        <f aca="false">IF(OR(Q277="",S277=""),"",(Q277-S277)*24)</f>
        <v>16</v>
      </c>
      <c r="U277" s="21" t="n">
        <f aca="false">IF($A277="","",IF(N(O277)&gt;0,N(U276)+1,0))</f>
        <v>4</v>
      </c>
      <c r="V277" s="21" t="n">
        <f aca="false">IF($A277="","",IF(N(P277)&gt;0,N(V276)+1,0))</f>
        <v>0</v>
      </c>
      <c r="W277" s="21" t="str">
        <f aca="false">IF($A277="","",IF(WEEKDAY($A277,2)&lt;&gt;7,"",IF(AND(OR(Q277="",N(Q277)&gt;=$A277+16/24,N(R277)&lt;=$A277+6/24),OR(S277="",N(S277)&lt;=$A277+6/24)),1,0)))</f>
        <v/>
      </c>
      <c r="X277" s="26" t="str">
        <f aca="false">IF($A277="","",IF(INDEX(Muster!$C$8:$BF$8,1,MOD($A277-Einstellungen!$C$6,Einstellungen!$C$7)+1)="","-",INDEX(Muster!$C$8:$BF$8,1,MOD($A277-Einstellungen!$C$6,Einstellungen!$C$7)+1)))</f>
        <v>F</v>
      </c>
      <c r="Y277" s="27" t="n">
        <f aca="false">IF($A277="","",IFERROR(VLOOKUP(X277,Schichten!$A$5:$G$24,6,FALSE()),0))</f>
        <v>8</v>
      </c>
      <c r="Z277" s="27" t="n">
        <f aca="false">IF($A277="","",IFERROR(VLOOKUP(X277,Schichten!$A$5:$G$24,7,FALSE()),0))</f>
        <v>0</v>
      </c>
      <c r="AA277" s="28" t="n">
        <f aca="false">IF($A277="","",IF(N(Y277)=0,"",$A277+VLOOKUP(X277,Schichten!$A$5:$G$24,3,FALSE())))</f>
        <v>46660.25</v>
      </c>
      <c r="AB277" s="28" t="n">
        <f aca="false">IF(AA277="","",$A277+VLOOKUP(X277,Schichten!$A$5:$G$24,4,FALSE())+IF(VLOOKUP(X277,Schichten!$A$5:$G$24,4,FALSE())&lt;=VLOOKUP(X277,Schichten!$A$5:$G$24,3,FALSE()),1,0))</f>
        <v>46660.5833333333</v>
      </c>
      <c r="AC277" s="28" t="n">
        <f aca="false">IF($A277="","",IF(N(Y276)&gt;0,AB276,AC276))</f>
        <v>46659.5833333333</v>
      </c>
      <c r="AD277" s="27" t="n">
        <f aca="false">IF(OR(AA277="",AC277=""),"",(AA277-AC277)*24)</f>
        <v>16</v>
      </c>
      <c r="AE277" s="21" t="n">
        <f aca="false">IF($A277="","",IF(N(Y277)&gt;0,N(AE276)+1,0))</f>
        <v>2</v>
      </c>
      <c r="AF277" s="21" t="n">
        <f aca="false">IF($A277="","",IF(N(Z277)&gt;0,N(AF276)+1,0))</f>
        <v>0</v>
      </c>
      <c r="AG277" s="21" t="str">
        <f aca="false">IF($A277="","",IF(WEEKDAY($A277,2)&lt;&gt;7,"",IF(AND(OR(AA277="",N(AA277)&gt;=$A277+16/24,N(AB277)&lt;=$A277+6/24),OR(AC277="",N(AC277)&lt;=$A277+6/24)),1,0)))</f>
        <v/>
      </c>
      <c r="AH277" s="26" t="str">
        <f aca="false">IF($A277="","",IF(INDEX(Muster!$C$9:$BF$9,1,MOD($A277-Einstellungen!$C$6,Einstellungen!$C$7)+1)="","-",INDEX(Muster!$C$9:$BF$9,1,MOD($A277-Einstellungen!$C$6,Einstellungen!$C$7)+1)))</f>
        <v>-</v>
      </c>
      <c r="AI277" s="27" t="n">
        <f aca="false">IF($A277="","",IFERROR(VLOOKUP(AH277,Schichten!$A$5:$G$24,6,FALSE()),0))</f>
        <v>0</v>
      </c>
      <c r="AJ277" s="27" t="n">
        <f aca="false">IF($A277="","",IFERROR(VLOOKUP(AH277,Schichten!$A$5:$G$24,7,FALSE()),0))</f>
        <v>0</v>
      </c>
      <c r="AK277" s="28" t="str">
        <f aca="false">IF($A277="","",IF(N(AI277)=0,"",$A277+VLOOKUP(AH277,Schichten!$A$5:$G$24,3,FALSE())))</f>
        <v/>
      </c>
      <c r="AL277" s="28" t="str">
        <f aca="false">IF(AK277="","",$A277+VLOOKUP(AH277,Schichten!$A$5:$G$24,4,FALSE())+IF(VLOOKUP(AH277,Schichten!$A$5:$G$24,4,FALSE())&lt;=VLOOKUP(AH277,Schichten!$A$5:$G$24,3,FALSE()),1,0))</f>
        <v/>
      </c>
      <c r="AM277" s="28" t="n">
        <f aca="false">IF($A277="","",IF(N(AI276)&gt;0,AL276,AM276))</f>
        <v>46659.25</v>
      </c>
      <c r="AN277" s="27" t="str">
        <f aca="false">IF(OR(AK277="",AM277=""),"",(AK277-AM277)*24)</f>
        <v/>
      </c>
      <c r="AO277" s="21" t="n">
        <f aca="false">IF($A277="","",IF(N(AI277)&gt;0,N(AO276)+1,0))</f>
        <v>0</v>
      </c>
      <c r="AP277" s="21" t="n">
        <f aca="false">IF($A277="","",IF(N(AJ277)&gt;0,N(AP276)+1,0))</f>
        <v>0</v>
      </c>
      <c r="AQ277" s="21" t="str">
        <f aca="false">IF($A277="","",IF(WEEKDAY($A277,2)&lt;&gt;7,"",IF(AND(OR(AK277="",N(AK277)&gt;=$A277+16/24,N(AL277)&lt;=$A277+6/24),OR(AM277="",N(AM277)&lt;=$A277+6/24)),1,0)))</f>
        <v/>
      </c>
      <c r="AR277" s="26" t="str">
        <f aca="false">IF($A277="","",IF(INDEX(Muster!$C$10:$BF$10,1,MOD($A277-Einstellungen!$C$6,Einstellungen!$C$7)+1)="","-",INDEX(Muster!$C$10:$BF$10,1,MOD($A277-Einstellungen!$C$6,Einstellungen!$C$7)+1)))</f>
        <v>-</v>
      </c>
      <c r="AS277" s="27" t="n">
        <f aca="false">IF($A277="","",IFERROR(VLOOKUP(AR277,Schichten!$A$5:$G$24,6,FALSE()),0))</f>
        <v>0</v>
      </c>
      <c r="AT277" s="27" t="n">
        <f aca="false">IF($A277="","",IFERROR(VLOOKUP(AR277,Schichten!$A$5:$G$24,7,FALSE()),0))</f>
        <v>0</v>
      </c>
      <c r="AU277" s="28" t="str">
        <f aca="false">IF($A277="","",IF(N(AS277)=0,"",$A277+VLOOKUP(AR277,Schichten!$A$5:$G$24,3,FALSE())))</f>
        <v/>
      </c>
      <c r="AV277" s="28" t="str">
        <f aca="false">IF(AU277="","",$A277+VLOOKUP(AR277,Schichten!$A$5:$G$24,4,FALSE())+IF(VLOOKUP(AR277,Schichten!$A$5:$G$24,4,FALSE())&lt;=VLOOKUP(AR277,Schichten!$A$5:$G$24,3,FALSE()),1,0))</f>
        <v/>
      </c>
      <c r="AW277" s="28" t="str">
        <f aca="false">IF($A277="","",IF(N(AS276)&gt;0,AV276,AW276))</f>
        <v/>
      </c>
      <c r="AX277" s="27" t="str">
        <f aca="false">IF(OR(AU277="",AW277=""),"",(AU277-AW277)*24)</f>
        <v/>
      </c>
      <c r="AY277" s="21" t="n">
        <f aca="false">IF($A277="","",IF(N(AS277)&gt;0,N(AY276)+1,0))</f>
        <v>0</v>
      </c>
      <c r="AZ277" s="21" t="n">
        <f aca="false">IF($A277="","",IF(N(AT277)&gt;0,N(AZ276)+1,0))</f>
        <v>0</v>
      </c>
      <c r="BA277" s="21" t="str">
        <f aca="false">IF($A277="","",IF(WEEKDAY($A277,2)&lt;&gt;7,"",IF(AND(OR(AU277="",N(AU277)&gt;=$A277+16/24,N(AV277)&lt;=$A277+6/24),OR(AW277="",N(AW277)&lt;=$A277+6/24)),1,0)))</f>
        <v/>
      </c>
    </row>
    <row r="278" customFormat="false" ht="15" hidden="false" customHeight="false" outlineLevel="0" collapsed="false">
      <c r="A278" s="25" t="n">
        <f aca="false">IF(YEAR(DATE(Einstellungen!$C$4,1,1)+273)=Einstellungen!$C$4,DATE(Einstellungen!$C$4,1,1)+273,"")</f>
        <v>46661</v>
      </c>
      <c r="B278" s="26" t="str">
        <f aca="false">IF($A278="","",CHOOSE(WEEKDAY($A278,2),"Mo","Di","Mi","Do","Fr","Sa","So"))</f>
        <v>Fr</v>
      </c>
      <c r="C278" s="26" t="n">
        <f aca="false">IF($A278="","",MONTH($A278))</f>
        <v>10</v>
      </c>
      <c r="D278" s="26" t="str">
        <f aca="false">IF($A278="","",IF(INDEX(Muster!$C$6:$BF$6,1,MOD($A278-Einstellungen!$C$6,Einstellungen!$C$7)+1)="","-",INDEX(Muster!$C$6:$BF$6,1,MOD($A278-Einstellungen!$C$6,Einstellungen!$C$7)+1)))</f>
        <v>-</v>
      </c>
      <c r="E278" s="27" t="n">
        <f aca="false">IF($A278="","",IFERROR(VLOOKUP(D278,Schichten!$A$5:$G$24,6,FALSE()),0))</f>
        <v>0</v>
      </c>
      <c r="F278" s="27" t="n">
        <f aca="false">IF($A278="","",IFERROR(VLOOKUP(D278,Schichten!$A$5:$G$24,7,FALSE()),0))</f>
        <v>0</v>
      </c>
      <c r="G278" s="28" t="str">
        <f aca="false">IF($A278="","",IF(N(E278)=0,"",$A278+VLOOKUP(D278,Schichten!$A$5:$G$24,3,FALSE())))</f>
        <v/>
      </c>
      <c r="H278" s="28" t="str">
        <f aca="false">IF(G278="","",$A278+VLOOKUP(D278,Schichten!$A$5:$G$24,4,FALSE())+IF(VLOOKUP(D278,Schichten!$A$5:$G$24,4,FALSE())&lt;=VLOOKUP(D278,Schichten!$A$5:$G$24,3,FALSE()),1,0))</f>
        <v/>
      </c>
      <c r="I278" s="28" t="n">
        <f aca="false">IF($A278="","",IF(N(E277)&gt;0,H277,I277))</f>
        <v>46661.25</v>
      </c>
      <c r="J278" s="27" t="str">
        <f aca="false">IF(OR(G278="",I278=""),"",(G278-I278)*24)</f>
        <v/>
      </c>
      <c r="K278" s="21" t="n">
        <f aca="false">IF($A278="","",IF(N(E278)&gt;0,N(K277)+1,0))</f>
        <v>0</v>
      </c>
      <c r="L278" s="21" t="n">
        <f aca="false">IF($A278="","",IF(N(F278)&gt;0,N(L277)+1,0))</f>
        <v>0</v>
      </c>
      <c r="M278" s="21" t="str">
        <f aca="false">IF($A278="","",IF(WEEKDAY($A278,2)&lt;&gt;7,"",IF(AND(OR(G278="",N(G278)&gt;=$A278+16/24,N(H278)&lt;=$A278+6/24),OR(I278="",N(I278)&lt;=$A278+6/24)),1,0)))</f>
        <v/>
      </c>
      <c r="N278" s="26" t="str">
        <f aca="false">IF($A278="","",IF(INDEX(Muster!$C$7:$BF$7,1,MOD($A278-Einstellungen!$C$6,Einstellungen!$C$7)+1)="","-",INDEX(Muster!$C$7:$BF$7,1,MOD($A278-Einstellungen!$C$6,Einstellungen!$C$7)+1)))</f>
        <v>N</v>
      </c>
      <c r="O278" s="27" t="n">
        <f aca="false">IF($A278="","",IFERROR(VLOOKUP(N278,Schichten!$A$5:$G$24,6,FALSE()),0))</f>
        <v>8</v>
      </c>
      <c r="P278" s="27" t="n">
        <f aca="false">IF($A278="","",IFERROR(VLOOKUP(N278,Schichten!$A$5:$G$24,7,FALSE()),0))</f>
        <v>7</v>
      </c>
      <c r="Q278" s="28" t="n">
        <f aca="false">IF($A278="","",IF(N(O278)=0,"",$A278+VLOOKUP(N278,Schichten!$A$5:$G$24,3,FALSE())))</f>
        <v>46661.9166666667</v>
      </c>
      <c r="R278" s="28" t="n">
        <f aca="false">IF(Q278="","",$A278+VLOOKUP(N278,Schichten!$A$5:$G$24,4,FALSE())+IF(VLOOKUP(N278,Schichten!$A$5:$G$24,4,FALSE())&lt;=VLOOKUP(N278,Schichten!$A$5:$G$24,3,FALSE()),1,0))</f>
        <v>46662.25</v>
      </c>
      <c r="S278" s="28" t="n">
        <f aca="false">IF($A278="","",IF(N(O277)&gt;0,R277,S277))</f>
        <v>46660.9166666667</v>
      </c>
      <c r="T278" s="27" t="n">
        <f aca="false">IF(OR(Q278="",S278=""),"",(Q278-S278)*24)</f>
        <v>24</v>
      </c>
      <c r="U278" s="21" t="n">
        <f aca="false">IF($A278="","",IF(N(O278)&gt;0,N(U277)+1,0))</f>
        <v>5</v>
      </c>
      <c r="V278" s="21" t="n">
        <f aca="false">IF($A278="","",IF(N(P278)&gt;0,N(V277)+1,0))</f>
        <v>1</v>
      </c>
      <c r="W278" s="21" t="str">
        <f aca="false">IF($A278="","",IF(WEEKDAY($A278,2)&lt;&gt;7,"",IF(AND(OR(Q278="",N(Q278)&gt;=$A278+16/24,N(R278)&lt;=$A278+6/24),OR(S278="",N(S278)&lt;=$A278+6/24)),1,0)))</f>
        <v/>
      </c>
      <c r="X278" s="26" t="str">
        <f aca="false">IF($A278="","",IF(INDEX(Muster!$C$8:$BF$8,1,MOD($A278-Einstellungen!$C$6,Einstellungen!$C$7)+1)="","-",INDEX(Muster!$C$8:$BF$8,1,MOD($A278-Einstellungen!$C$6,Einstellungen!$C$7)+1)))</f>
        <v>S</v>
      </c>
      <c r="Y278" s="27" t="n">
        <f aca="false">IF($A278="","",IFERROR(VLOOKUP(X278,Schichten!$A$5:$G$24,6,FALSE()),0))</f>
        <v>8</v>
      </c>
      <c r="Z278" s="27" t="n">
        <f aca="false">IF($A278="","",IFERROR(VLOOKUP(X278,Schichten!$A$5:$G$24,7,FALSE()),0))</f>
        <v>0</v>
      </c>
      <c r="AA278" s="28" t="n">
        <f aca="false">IF($A278="","",IF(N(Y278)=0,"",$A278+VLOOKUP(X278,Schichten!$A$5:$G$24,3,FALSE())))</f>
        <v>46661.5833333333</v>
      </c>
      <c r="AB278" s="28" t="n">
        <f aca="false">IF(AA278="","",$A278+VLOOKUP(X278,Schichten!$A$5:$G$24,4,FALSE())+IF(VLOOKUP(X278,Schichten!$A$5:$G$24,4,FALSE())&lt;=VLOOKUP(X278,Schichten!$A$5:$G$24,3,FALSE()),1,0))</f>
        <v>46661.9166666667</v>
      </c>
      <c r="AC278" s="28" t="n">
        <f aca="false">IF($A278="","",IF(N(Y277)&gt;0,AB277,AC277))</f>
        <v>46660.5833333333</v>
      </c>
      <c r="AD278" s="27" t="n">
        <f aca="false">IF(OR(AA278="",AC278=""),"",(AA278-AC278)*24)</f>
        <v>24</v>
      </c>
      <c r="AE278" s="21" t="n">
        <f aca="false">IF($A278="","",IF(N(Y278)&gt;0,N(AE277)+1,0))</f>
        <v>3</v>
      </c>
      <c r="AF278" s="21" t="n">
        <f aca="false">IF($A278="","",IF(N(Z278)&gt;0,N(AF277)+1,0))</f>
        <v>0</v>
      </c>
      <c r="AG278" s="21" t="str">
        <f aca="false">IF($A278="","",IF(WEEKDAY($A278,2)&lt;&gt;7,"",IF(AND(OR(AA278="",N(AA278)&gt;=$A278+16/24,N(AB278)&lt;=$A278+6/24),OR(AC278="",N(AC278)&lt;=$A278+6/24)),1,0)))</f>
        <v/>
      </c>
      <c r="AH278" s="26" t="str">
        <f aca="false">IF($A278="","",IF(INDEX(Muster!$C$9:$BF$9,1,MOD($A278-Einstellungen!$C$6,Einstellungen!$C$7)+1)="","-",INDEX(Muster!$C$9:$BF$9,1,MOD($A278-Einstellungen!$C$6,Einstellungen!$C$7)+1)))</f>
        <v>F</v>
      </c>
      <c r="AI278" s="27" t="n">
        <f aca="false">IF($A278="","",IFERROR(VLOOKUP(AH278,Schichten!$A$5:$G$24,6,FALSE()),0))</f>
        <v>8</v>
      </c>
      <c r="AJ278" s="27" t="n">
        <f aca="false">IF($A278="","",IFERROR(VLOOKUP(AH278,Schichten!$A$5:$G$24,7,FALSE()),0))</f>
        <v>0</v>
      </c>
      <c r="AK278" s="28" t="n">
        <f aca="false">IF($A278="","",IF(N(AI278)=0,"",$A278+VLOOKUP(AH278,Schichten!$A$5:$G$24,3,FALSE())))</f>
        <v>46661.25</v>
      </c>
      <c r="AL278" s="28" t="n">
        <f aca="false">IF(AK278="","",$A278+VLOOKUP(AH278,Schichten!$A$5:$G$24,4,FALSE())+IF(VLOOKUP(AH278,Schichten!$A$5:$G$24,4,FALSE())&lt;=VLOOKUP(AH278,Schichten!$A$5:$G$24,3,FALSE()),1,0))</f>
        <v>46661.5833333333</v>
      </c>
      <c r="AM278" s="28" t="n">
        <f aca="false">IF($A278="","",IF(N(AI277)&gt;0,AL277,AM277))</f>
        <v>46659.25</v>
      </c>
      <c r="AN278" s="27" t="n">
        <f aca="false">IF(OR(AK278="",AM278=""),"",(AK278-AM278)*24)</f>
        <v>48</v>
      </c>
      <c r="AO278" s="21" t="n">
        <f aca="false">IF($A278="","",IF(N(AI278)&gt;0,N(AO277)+1,0))</f>
        <v>1</v>
      </c>
      <c r="AP278" s="21" t="n">
        <f aca="false">IF($A278="","",IF(N(AJ278)&gt;0,N(AP277)+1,0))</f>
        <v>0</v>
      </c>
      <c r="AQ278" s="21" t="str">
        <f aca="false">IF($A278="","",IF(WEEKDAY($A278,2)&lt;&gt;7,"",IF(AND(OR(AK278="",N(AK278)&gt;=$A278+16/24,N(AL278)&lt;=$A278+6/24),OR(AM278="",N(AM278)&lt;=$A278+6/24)),1,0)))</f>
        <v/>
      </c>
      <c r="AR278" s="26" t="str">
        <f aca="false">IF($A278="","",IF(INDEX(Muster!$C$10:$BF$10,1,MOD($A278-Einstellungen!$C$6,Einstellungen!$C$7)+1)="","-",INDEX(Muster!$C$10:$BF$10,1,MOD($A278-Einstellungen!$C$6,Einstellungen!$C$7)+1)))</f>
        <v>-</v>
      </c>
      <c r="AS278" s="27" t="n">
        <f aca="false">IF($A278="","",IFERROR(VLOOKUP(AR278,Schichten!$A$5:$G$24,6,FALSE()),0))</f>
        <v>0</v>
      </c>
      <c r="AT278" s="27" t="n">
        <f aca="false">IF($A278="","",IFERROR(VLOOKUP(AR278,Schichten!$A$5:$G$24,7,FALSE()),0))</f>
        <v>0</v>
      </c>
      <c r="AU278" s="28" t="str">
        <f aca="false">IF($A278="","",IF(N(AS278)=0,"",$A278+VLOOKUP(AR278,Schichten!$A$5:$G$24,3,FALSE())))</f>
        <v/>
      </c>
      <c r="AV278" s="28" t="str">
        <f aca="false">IF(AU278="","",$A278+VLOOKUP(AR278,Schichten!$A$5:$G$24,4,FALSE())+IF(VLOOKUP(AR278,Schichten!$A$5:$G$24,4,FALSE())&lt;=VLOOKUP(AR278,Schichten!$A$5:$G$24,3,FALSE()),1,0))</f>
        <v/>
      </c>
      <c r="AW278" s="28" t="str">
        <f aca="false">IF($A278="","",IF(N(AS277)&gt;0,AV277,AW277))</f>
        <v/>
      </c>
      <c r="AX278" s="27" t="str">
        <f aca="false">IF(OR(AU278="",AW278=""),"",(AU278-AW278)*24)</f>
        <v/>
      </c>
      <c r="AY278" s="21" t="n">
        <f aca="false">IF($A278="","",IF(N(AS278)&gt;0,N(AY277)+1,0))</f>
        <v>0</v>
      </c>
      <c r="AZ278" s="21" t="n">
        <f aca="false">IF($A278="","",IF(N(AT278)&gt;0,N(AZ277)+1,0))</f>
        <v>0</v>
      </c>
      <c r="BA278" s="21" t="str">
        <f aca="false">IF($A278="","",IF(WEEKDAY($A278,2)&lt;&gt;7,"",IF(AND(OR(AU278="",N(AU278)&gt;=$A278+16/24,N(AV278)&lt;=$A278+6/24),OR(AW278="",N(AW278)&lt;=$A278+6/24)),1,0)))</f>
        <v/>
      </c>
    </row>
    <row r="279" customFormat="false" ht="15" hidden="false" customHeight="false" outlineLevel="0" collapsed="false">
      <c r="A279" s="25" t="n">
        <f aca="false">IF(YEAR(DATE(Einstellungen!$C$4,1,1)+274)=Einstellungen!$C$4,DATE(Einstellungen!$C$4,1,1)+274,"")</f>
        <v>46662</v>
      </c>
      <c r="B279" s="26" t="str">
        <f aca="false">IF($A279="","",CHOOSE(WEEKDAY($A279,2),"Mo","Di","Mi","Do","Fr","Sa","So"))</f>
        <v>Sa</v>
      </c>
      <c r="C279" s="26" t="n">
        <f aca="false">IF($A279="","",MONTH($A279))</f>
        <v>10</v>
      </c>
      <c r="D279" s="26" t="str">
        <f aca="false">IF($A279="","",IF(INDEX(Muster!$C$6:$BF$6,1,MOD($A279-Einstellungen!$C$6,Einstellungen!$C$7)+1)="","-",INDEX(Muster!$C$6:$BF$6,1,MOD($A279-Einstellungen!$C$6,Einstellungen!$C$7)+1)))</f>
        <v>-</v>
      </c>
      <c r="E279" s="27" t="n">
        <f aca="false">IF($A279="","",IFERROR(VLOOKUP(D279,Schichten!$A$5:$G$24,6,FALSE()),0))</f>
        <v>0</v>
      </c>
      <c r="F279" s="27" t="n">
        <f aca="false">IF($A279="","",IFERROR(VLOOKUP(D279,Schichten!$A$5:$G$24,7,FALSE()),0))</f>
        <v>0</v>
      </c>
      <c r="G279" s="28" t="str">
        <f aca="false">IF($A279="","",IF(N(E279)=0,"",$A279+VLOOKUP(D279,Schichten!$A$5:$G$24,3,FALSE())))</f>
        <v/>
      </c>
      <c r="H279" s="28" t="str">
        <f aca="false">IF(G279="","",$A279+VLOOKUP(D279,Schichten!$A$5:$G$24,4,FALSE())+IF(VLOOKUP(D279,Schichten!$A$5:$G$24,4,FALSE())&lt;=VLOOKUP(D279,Schichten!$A$5:$G$24,3,FALSE()),1,0))</f>
        <v/>
      </c>
      <c r="I279" s="28" t="n">
        <f aca="false">IF($A279="","",IF(N(E278)&gt;0,H278,I278))</f>
        <v>46661.25</v>
      </c>
      <c r="J279" s="27" t="str">
        <f aca="false">IF(OR(G279="",I279=""),"",(G279-I279)*24)</f>
        <v/>
      </c>
      <c r="K279" s="21" t="n">
        <f aca="false">IF($A279="","",IF(N(E279)&gt;0,N(K278)+1,0))</f>
        <v>0</v>
      </c>
      <c r="L279" s="21" t="n">
        <f aca="false">IF($A279="","",IF(N(F279)&gt;0,N(L278)+1,0))</f>
        <v>0</v>
      </c>
      <c r="M279" s="21" t="str">
        <f aca="false">IF($A279="","",IF(WEEKDAY($A279,2)&lt;&gt;7,"",IF(AND(OR(G279="",N(G279)&gt;=$A279+16/24,N(H279)&lt;=$A279+6/24),OR(I279="",N(I279)&lt;=$A279+6/24)),1,0)))</f>
        <v/>
      </c>
      <c r="N279" s="26" t="str">
        <f aca="false">IF($A279="","",IF(INDEX(Muster!$C$7:$BF$7,1,MOD($A279-Einstellungen!$C$6,Einstellungen!$C$7)+1)="","-",INDEX(Muster!$C$7:$BF$7,1,MOD($A279-Einstellungen!$C$6,Einstellungen!$C$7)+1)))</f>
        <v>N</v>
      </c>
      <c r="O279" s="27" t="n">
        <f aca="false">IF($A279="","",IFERROR(VLOOKUP(N279,Schichten!$A$5:$G$24,6,FALSE()),0))</f>
        <v>8</v>
      </c>
      <c r="P279" s="27" t="n">
        <f aca="false">IF($A279="","",IFERROR(VLOOKUP(N279,Schichten!$A$5:$G$24,7,FALSE()),0))</f>
        <v>7</v>
      </c>
      <c r="Q279" s="28" t="n">
        <f aca="false">IF($A279="","",IF(N(O279)=0,"",$A279+VLOOKUP(N279,Schichten!$A$5:$G$24,3,FALSE())))</f>
        <v>46662.9166666667</v>
      </c>
      <c r="R279" s="28" t="n">
        <f aca="false">IF(Q279="","",$A279+VLOOKUP(N279,Schichten!$A$5:$G$24,4,FALSE())+IF(VLOOKUP(N279,Schichten!$A$5:$G$24,4,FALSE())&lt;=VLOOKUP(N279,Schichten!$A$5:$G$24,3,FALSE()),1,0))</f>
        <v>46663.25</v>
      </c>
      <c r="S279" s="28" t="n">
        <f aca="false">IF($A279="","",IF(N(O278)&gt;0,R278,S278))</f>
        <v>46662.25</v>
      </c>
      <c r="T279" s="27" t="n">
        <f aca="false">IF(OR(Q279="",S279=""),"",(Q279-S279)*24)</f>
        <v>16</v>
      </c>
      <c r="U279" s="21" t="n">
        <f aca="false">IF($A279="","",IF(N(O279)&gt;0,N(U278)+1,0))</f>
        <v>6</v>
      </c>
      <c r="V279" s="21" t="n">
        <f aca="false">IF($A279="","",IF(N(P279)&gt;0,N(V278)+1,0))</f>
        <v>2</v>
      </c>
      <c r="W279" s="21" t="str">
        <f aca="false">IF($A279="","",IF(WEEKDAY($A279,2)&lt;&gt;7,"",IF(AND(OR(Q279="",N(Q279)&gt;=$A279+16/24,N(R279)&lt;=$A279+6/24),OR(S279="",N(S279)&lt;=$A279+6/24)),1,0)))</f>
        <v/>
      </c>
      <c r="X279" s="26" t="str">
        <f aca="false">IF($A279="","",IF(INDEX(Muster!$C$8:$BF$8,1,MOD($A279-Einstellungen!$C$6,Einstellungen!$C$7)+1)="","-",INDEX(Muster!$C$8:$BF$8,1,MOD($A279-Einstellungen!$C$6,Einstellungen!$C$7)+1)))</f>
        <v>S</v>
      </c>
      <c r="Y279" s="27" t="n">
        <f aca="false">IF($A279="","",IFERROR(VLOOKUP(X279,Schichten!$A$5:$G$24,6,FALSE()),0))</f>
        <v>8</v>
      </c>
      <c r="Z279" s="27" t="n">
        <f aca="false">IF($A279="","",IFERROR(VLOOKUP(X279,Schichten!$A$5:$G$24,7,FALSE()),0))</f>
        <v>0</v>
      </c>
      <c r="AA279" s="28" t="n">
        <f aca="false">IF($A279="","",IF(N(Y279)=0,"",$A279+VLOOKUP(X279,Schichten!$A$5:$G$24,3,FALSE())))</f>
        <v>46662.5833333333</v>
      </c>
      <c r="AB279" s="28" t="n">
        <f aca="false">IF(AA279="","",$A279+VLOOKUP(X279,Schichten!$A$5:$G$24,4,FALSE())+IF(VLOOKUP(X279,Schichten!$A$5:$G$24,4,FALSE())&lt;=VLOOKUP(X279,Schichten!$A$5:$G$24,3,FALSE()),1,0))</f>
        <v>46662.9166666667</v>
      </c>
      <c r="AC279" s="28" t="n">
        <f aca="false">IF($A279="","",IF(N(Y278)&gt;0,AB278,AC278))</f>
        <v>46661.9166666667</v>
      </c>
      <c r="AD279" s="27" t="n">
        <f aca="false">IF(OR(AA279="",AC279=""),"",(AA279-AC279)*24)</f>
        <v>16</v>
      </c>
      <c r="AE279" s="21" t="n">
        <f aca="false">IF($A279="","",IF(N(Y279)&gt;0,N(AE278)+1,0))</f>
        <v>4</v>
      </c>
      <c r="AF279" s="21" t="n">
        <f aca="false">IF($A279="","",IF(N(Z279)&gt;0,N(AF278)+1,0))</f>
        <v>0</v>
      </c>
      <c r="AG279" s="21" t="str">
        <f aca="false">IF($A279="","",IF(WEEKDAY($A279,2)&lt;&gt;7,"",IF(AND(OR(AA279="",N(AA279)&gt;=$A279+16/24,N(AB279)&lt;=$A279+6/24),OR(AC279="",N(AC279)&lt;=$A279+6/24)),1,0)))</f>
        <v/>
      </c>
      <c r="AH279" s="26" t="str">
        <f aca="false">IF($A279="","",IF(INDEX(Muster!$C$9:$BF$9,1,MOD($A279-Einstellungen!$C$6,Einstellungen!$C$7)+1)="","-",INDEX(Muster!$C$9:$BF$9,1,MOD($A279-Einstellungen!$C$6,Einstellungen!$C$7)+1)))</f>
        <v>F</v>
      </c>
      <c r="AI279" s="27" t="n">
        <f aca="false">IF($A279="","",IFERROR(VLOOKUP(AH279,Schichten!$A$5:$G$24,6,FALSE()),0))</f>
        <v>8</v>
      </c>
      <c r="AJ279" s="27" t="n">
        <f aca="false">IF($A279="","",IFERROR(VLOOKUP(AH279,Schichten!$A$5:$G$24,7,FALSE()),0))</f>
        <v>0</v>
      </c>
      <c r="AK279" s="28" t="n">
        <f aca="false">IF($A279="","",IF(N(AI279)=0,"",$A279+VLOOKUP(AH279,Schichten!$A$5:$G$24,3,FALSE())))</f>
        <v>46662.25</v>
      </c>
      <c r="AL279" s="28" t="n">
        <f aca="false">IF(AK279="","",$A279+VLOOKUP(AH279,Schichten!$A$5:$G$24,4,FALSE())+IF(VLOOKUP(AH279,Schichten!$A$5:$G$24,4,FALSE())&lt;=VLOOKUP(AH279,Schichten!$A$5:$G$24,3,FALSE()),1,0))</f>
        <v>46662.5833333333</v>
      </c>
      <c r="AM279" s="28" t="n">
        <f aca="false">IF($A279="","",IF(N(AI278)&gt;0,AL278,AM278))</f>
        <v>46661.5833333333</v>
      </c>
      <c r="AN279" s="27" t="n">
        <f aca="false">IF(OR(AK279="",AM279=""),"",(AK279-AM279)*24)</f>
        <v>16</v>
      </c>
      <c r="AO279" s="21" t="n">
        <f aca="false">IF($A279="","",IF(N(AI279)&gt;0,N(AO278)+1,0))</f>
        <v>2</v>
      </c>
      <c r="AP279" s="21" t="n">
        <f aca="false">IF($A279="","",IF(N(AJ279)&gt;0,N(AP278)+1,0))</f>
        <v>0</v>
      </c>
      <c r="AQ279" s="21" t="str">
        <f aca="false">IF($A279="","",IF(WEEKDAY($A279,2)&lt;&gt;7,"",IF(AND(OR(AK279="",N(AK279)&gt;=$A279+16/24,N(AL279)&lt;=$A279+6/24),OR(AM279="",N(AM279)&lt;=$A279+6/24)),1,0)))</f>
        <v/>
      </c>
      <c r="AR279" s="26" t="str">
        <f aca="false">IF($A279="","",IF(INDEX(Muster!$C$10:$BF$10,1,MOD($A279-Einstellungen!$C$6,Einstellungen!$C$7)+1)="","-",INDEX(Muster!$C$10:$BF$10,1,MOD($A279-Einstellungen!$C$6,Einstellungen!$C$7)+1)))</f>
        <v>-</v>
      </c>
      <c r="AS279" s="27" t="n">
        <f aca="false">IF($A279="","",IFERROR(VLOOKUP(AR279,Schichten!$A$5:$G$24,6,FALSE()),0))</f>
        <v>0</v>
      </c>
      <c r="AT279" s="27" t="n">
        <f aca="false">IF($A279="","",IFERROR(VLOOKUP(AR279,Schichten!$A$5:$G$24,7,FALSE()),0))</f>
        <v>0</v>
      </c>
      <c r="AU279" s="28" t="str">
        <f aca="false">IF($A279="","",IF(N(AS279)=0,"",$A279+VLOOKUP(AR279,Schichten!$A$5:$G$24,3,FALSE())))</f>
        <v/>
      </c>
      <c r="AV279" s="28" t="str">
        <f aca="false">IF(AU279="","",$A279+VLOOKUP(AR279,Schichten!$A$5:$G$24,4,FALSE())+IF(VLOOKUP(AR279,Schichten!$A$5:$G$24,4,FALSE())&lt;=VLOOKUP(AR279,Schichten!$A$5:$G$24,3,FALSE()),1,0))</f>
        <v/>
      </c>
      <c r="AW279" s="28" t="str">
        <f aca="false">IF($A279="","",IF(N(AS278)&gt;0,AV278,AW278))</f>
        <v/>
      </c>
      <c r="AX279" s="27" t="str">
        <f aca="false">IF(OR(AU279="",AW279=""),"",(AU279-AW279)*24)</f>
        <v/>
      </c>
      <c r="AY279" s="21" t="n">
        <f aca="false">IF($A279="","",IF(N(AS279)&gt;0,N(AY278)+1,0))</f>
        <v>0</v>
      </c>
      <c r="AZ279" s="21" t="n">
        <f aca="false">IF($A279="","",IF(N(AT279)&gt;0,N(AZ278)+1,0))</f>
        <v>0</v>
      </c>
      <c r="BA279" s="21" t="str">
        <f aca="false">IF($A279="","",IF(WEEKDAY($A279,2)&lt;&gt;7,"",IF(AND(OR(AU279="",N(AU279)&gt;=$A279+16/24,N(AV279)&lt;=$A279+6/24),OR(AW279="",N(AW279)&lt;=$A279+6/24)),1,0)))</f>
        <v/>
      </c>
    </row>
    <row r="280" customFormat="false" ht="15" hidden="false" customHeight="false" outlineLevel="0" collapsed="false">
      <c r="A280" s="25" t="n">
        <f aca="false">IF(YEAR(DATE(Einstellungen!$C$4,1,1)+275)=Einstellungen!$C$4,DATE(Einstellungen!$C$4,1,1)+275,"")</f>
        <v>46663</v>
      </c>
      <c r="B280" s="26" t="str">
        <f aca="false">IF($A280="","",CHOOSE(WEEKDAY($A280,2),"Mo","Di","Mi","Do","Fr","Sa","So"))</f>
        <v>So</v>
      </c>
      <c r="C280" s="26" t="n">
        <f aca="false">IF($A280="","",MONTH($A280))</f>
        <v>10</v>
      </c>
      <c r="D280" s="26" t="str">
        <f aca="false">IF($A280="","",IF(INDEX(Muster!$C$6:$BF$6,1,MOD($A280-Einstellungen!$C$6,Einstellungen!$C$7)+1)="","-",INDEX(Muster!$C$6:$BF$6,1,MOD($A280-Einstellungen!$C$6,Einstellungen!$C$7)+1)))</f>
        <v>F</v>
      </c>
      <c r="E280" s="27" t="n">
        <f aca="false">IF($A280="","",IFERROR(VLOOKUP(D280,Schichten!$A$5:$G$24,6,FALSE()),0))</f>
        <v>8</v>
      </c>
      <c r="F280" s="27" t="n">
        <f aca="false">IF($A280="","",IFERROR(VLOOKUP(D280,Schichten!$A$5:$G$24,7,FALSE()),0))</f>
        <v>0</v>
      </c>
      <c r="G280" s="28" t="n">
        <f aca="false">IF($A280="","",IF(N(E280)=0,"",$A280+VLOOKUP(D280,Schichten!$A$5:$G$24,3,FALSE())))</f>
        <v>46663.25</v>
      </c>
      <c r="H280" s="28" t="n">
        <f aca="false">IF(G280="","",$A280+VLOOKUP(D280,Schichten!$A$5:$G$24,4,FALSE())+IF(VLOOKUP(D280,Schichten!$A$5:$G$24,4,FALSE())&lt;=VLOOKUP(D280,Schichten!$A$5:$G$24,3,FALSE()),1,0))</f>
        <v>46663.5833333333</v>
      </c>
      <c r="I280" s="28" t="n">
        <f aca="false">IF($A280="","",IF(N(E279)&gt;0,H279,I279))</f>
        <v>46661.25</v>
      </c>
      <c r="J280" s="27" t="n">
        <f aca="false">IF(OR(G280="",I280=""),"",(G280-I280)*24)</f>
        <v>48</v>
      </c>
      <c r="K280" s="21" t="n">
        <f aca="false">IF($A280="","",IF(N(E280)&gt;0,N(K279)+1,0))</f>
        <v>1</v>
      </c>
      <c r="L280" s="21" t="n">
        <f aca="false">IF($A280="","",IF(N(F280)&gt;0,N(L279)+1,0))</f>
        <v>0</v>
      </c>
      <c r="M280" s="21" t="n">
        <f aca="false">IF($A280="","",IF(WEEKDAY($A280,2)&lt;&gt;7,"",IF(AND(OR(G280="",N(G280)&gt;=$A280+16/24,N(H280)&lt;=$A280+6/24),OR(I280="",N(I280)&lt;=$A280+6/24)),1,0)))</f>
        <v>0</v>
      </c>
      <c r="N280" s="26" t="str">
        <f aca="false">IF($A280="","",IF(INDEX(Muster!$C$7:$BF$7,1,MOD($A280-Einstellungen!$C$6,Einstellungen!$C$7)+1)="","-",INDEX(Muster!$C$7:$BF$7,1,MOD($A280-Einstellungen!$C$6,Einstellungen!$C$7)+1)))</f>
        <v>-</v>
      </c>
      <c r="O280" s="27" t="n">
        <f aca="false">IF($A280="","",IFERROR(VLOOKUP(N280,Schichten!$A$5:$G$24,6,FALSE()),0))</f>
        <v>0</v>
      </c>
      <c r="P280" s="27" t="n">
        <f aca="false">IF($A280="","",IFERROR(VLOOKUP(N280,Schichten!$A$5:$G$24,7,FALSE()),0))</f>
        <v>0</v>
      </c>
      <c r="Q280" s="28" t="str">
        <f aca="false">IF($A280="","",IF(N(O280)=0,"",$A280+VLOOKUP(N280,Schichten!$A$5:$G$24,3,FALSE())))</f>
        <v/>
      </c>
      <c r="R280" s="28" t="str">
        <f aca="false">IF(Q280="","",$A280+VLOOKUP(N280,Schichten!$A$5:$G$24,4,FALSE())+IF(VLOOKUP(N280,Schichten!$A$5:$G$24,4,FALSE())&lt;=VLOOKUP(N280,Schichten!$A$5:$G$24,3,FALSE()),1,0))</f>
        <v/>
      </c>
      <c r="S280" s="28" t="n">
        <f aca="false">IF($A280="","",IF(N(O279)&gt;0,R279,S279))</f>
        <v>46663.25</v>
      </c>
      <c r="T280" s="27" t="str">
        <f aca="false">IF(OR(Q280="",S280=""),"",(Q280-S280)*24)</f>
        <v/>
      </c>
      <c r="U280" s="21" t="n">
        <f aca="false">IF($A280="","",IF(N(O280)&gt;0,N(U279)+1,0))</f>
        <v>0</v>
      </c>
      <c r="V280" s="21" t="n">
        <f aca="false">IF($A280="","",IF(N(P280)&gt;0,N(V279)+1,0))</f>
        <v>0</v>
      </c>
      <c r="W280" s="21" t="n">
        <f aca="false">IF($A280="","",IF(WEEKDAY($A280,2)&lt;&gt;7,"",IF(AND(OR(Q280="",N(Q280)&gt;=$A280+16/24,N(R280)&lt;=$A280+6/24),OR(S280="",N(S280)&lt;=$A280+6/24)),1,0)))</f>
        <v>1</v>
      </c>
      <c r="X280" s="26" t="str">
        <f aca="false">IF($A280="","",IF(INDEX(Muster!$C$8:$BF$8,1,MOD($A280-Einstellungen!$C$6,Einstellungen!$C$7)+1)="","-",INDEX(Muster!$C$8:$BF$8,1,MOD($A280-Einstellungen!$C$6,Einstellungen!$C$7)+1)))</f>
        <v>N</v>
      </c>
      <c r="Y280" s="27" t="n">
        <f aca="false">IF($A280="","",IFERROR(VLOOKUP(X280,Schichten!$A$5:$G$24,6,FALSE()),0))</f>
        <v>8</v>
      </c>
      <c r="Z280" s="27" t="n">
        <f aca="false">IF($A280="","",IFERROR(VLOOKUP(X280,Schichten!$A$5:$G$24,7,FALSE()),0))</f>
        <v>7</v>
      </c>
      <c r="AA280" s="28" t="n">
        <f aca="false">IF($A280="","",IF(N(Y280)=0,"",$A280+VLOOKUP(X280,Schichten!$A$5:$G$24,3,FALSE())))</f>
        <v>46663.9166666667</v>
      </c>
      <c r="AB280" s="28" t="n">
        <f aca="false">IF(AA280="","",$A280+VLOOKUP(X280,Schichten!$A$5:$G$24,4,FALSE())+IF(VLOOKUP(X280,Schichten!$A$5:$G$24,4,FALSE())&lt;=VLOOKUP(X280,Schichten!$A$5:$G$24,3,FALSE()),1,0))</f>
        <v>46664.25</v>
      </c>
      <c r="AC280" s="28" t="n">
        <f aca="false">IF($A280="","",IF(N(Y279)&gt;0,AB279,AC279))</f>
        <v>46662.9166666667</v>
      </c>
      <c r="AD280" s="27" t="n">
        <f aca="false">IF(OR(AA280="",AC280=""),"",(AA280-AC280)*24)</f>
        <v>24</v>
      </c>
      <c r="AE280" s="21" t="n">
        <f aca="false">IF($A280="","",IF(N(Y280)&gt;0,N(AE279)+1,0))</f>
        <v>5</v>
      </c>
      <c r="AF280" s="21" t="n">
        <f aca="false">IF($A280="","",IF(N(Z280)&gt;0,N(AF279)+1,0))</f>
        <v>1</v>
      </c>
      <c r="AG280" s="21" t="n">
        <f aca="false">IF($A280="","",IF(WEEKDAY($A280,2)&lt;&gt;7,"",IF(AND(OR(AA280="",N(AA280)&gt;=$A280+16/24,N(AB280)&lt;=$A280+6/24),OR(AC280="",N(AC280)&lt;=$A280+6/24)),1,0)))</f>
        <v>1</v>
      </c>
      <c r="AH280" s="26" t="str">
        <f aca="false">IF($A280="","",IF(INDEX(Muster!$C$9:$BF$9,1,MOD($A280-Einstellungen!$C$6,Einstellungen!$C$7)+1)="","-",INDEX(Muster!$C$9:$BF$9,1,MOD($A280-Einstellungen!$C$6,Einstellungen!$C$7)+1)))</f>
        <v>S</v>
      </c>
      <c r="AI280" s="27" t="n">
        <f aca="false">IF($A280="","",IFERROR(VLOOKUP(AH280,Schichten!$A$5:$G$24,6,FALSE()),0))</f>
        <v>8</v>
      </c>
      <c r="AJ280" s="27" t="n">
        <f aca="false">IF($A280="","",IFERROR(VLOOKUP(AH280,Schichten!$A$5:$G$24,7,FALSE()),0))</f>
        <v>0</v>
      </c>
      <c r="AK280" s="28" t="n">
        <f aca="false">IF($A280="","",IF(N(AI280)=0,"",$A280+VLOOKUP(AH280,Schichten!$A$5:$G$24,3,FALSE())))</f>
        <v>46663.5833333333</v>
      </c>
      <c r="AL280" s="28" t="n">
        <f aca="false">IF(AK280="","",$A280+VLOOKUP(AH280,Schichten!$A$5:$G$24,4,FALSE())+IF(VLOOKUP(AH280,Schichten!$A$5:$G$24,4,FALSE())&lt;=VLOOKUP(AH280,Schichten!$A$5:$G$24,3,FALSE()),1,0))</f>
        <v>46663.9166666667</v>
      </c>
      <c r="AM280" s="28" t="n">
        <f aca="false">IF($A280="","",IF(N(AI279)&gt;0,AL279,AM279))</f>
        <v>46662.5833333333</v>
      </c>
      <c r="AN280" s="27" t="n">
        <f aca="false">IF(OR(AK280="",AM280=""),"",(AK280-AM280)*24)</f>
        <v>24</v>
      </c>
      <c r="AO280" s="21" t="n">
        <f aca="false">IF($A280="","",IF(N(AI280)&gt;0,N(AO279)+1,0))</f>
        <v>3</v>
      </c>
      <c r="AP280" s="21" t="n">
        <f aca="false">IF($A280="","",IF(N(AJ280)&gt;0,N(AP279)+1,0))</f>
        <v>0</v>
      </c>
      <c r="AQ280" s="21" t="n">
        <f aca="false">IF($A280="","",IF(WEEKDAY($A280,2)&lt;&gt;7,"",IF(AND(OR(AK280="",N(AK280)&gt;=$A280+16/24,N(AL280)&lt;=$A280+6/24),OR(AM280="",N(AM280)&lt;=$A280+6/24)),1,0)))</f>
        <v>0</v>
      </c>
      <c r="AR280" s="26" t="str">
        <f aca="false">IF($A280="","",IF(INDEX(Muster!$C$10:$BF$10,1,MOD($A280-Einstellungen!$C$6,Einstellungen!$C$7)+1)="","-",INDEX(Muster!$C$10:$BF$10,1,MOD($A280-Einstellungen!$C$6,Einstellungen!$C$7)+1)))</f>
        <v>-</v>
      </c>
      <c r="AS280" s="27" t="n">
        <f aca="false">IF($A280="","",IFERROR(VLOOKUP(AR280,Schichten!$A$5:$G$24,6,FALSE()),0))</f>
        <v>0</v>
      </c>
      <c r="AT280" s="27" t="n">
        <f aca="false">IF($A280="","",IFERROR(VLOOKUP(AR280,Schichten!$A$5:$G$24,7,FALSE()),0))</f>
        <v>0</v>
      </c>
      <c r="AU280" s="28" t="str">
        <f aca="false">IF($A280="","",IF(N(AS280)=0,"",$A280+VLOOKUP(AR280,Schichten!$A$5:$G$24,3,FALSE())))</f>
        <v/>
      </c>
      <c r="AV280" s="28" t="str">
        <f aca="false">IF(AU280="","",$A280+VLOOKUP(AR280,Schichten!$A$5:$G$24,4,FALSE())+IF(VLOOKUP(AR280,Schichten!$A$5:$G$24,4,FALSE())&lt;=VLOOKUP(AR280,Schichten!$A$5:$G$24,3,FALSE()),1,0))</f>
        <v/>
      </c>
      <c r="AW280" s="28" t="str">
        <f aca="false">IF($A280="","",IF(N(AS279)&gt;0,AV279,AW279))</f>
        <v/>
      </c>
      <c r="AX280" s="27" t="str">
        <f aca="false">IF(OR(AU280="",AW280=""),"",(AU280-AW280)*24)</f>
        <v/>
      </c>
      <c r="AY280" s="21" t="n">
        <f aca="false">IF($A280="","",IF(N(AS280)&gt;0,N(AY279)+1,0))</f>
        <v>0</v>
      </c>
      <c r="AZ280" s="21" t="n">
        <f aca="false">IF($A280="","",IF(N(AT280)&gt;0,N(AZ279)+1,0))</f>
        <v>0</v>
      </c>
      <c r="BA280" s="21" t="n">
        <f aca="false">IF($A280="","",IF(WEEKDAY($A280,2)&lt;&gt;7,"",IF(AND(OR(AU280="",N(AU280)&gt;=$A280+16/24,N(AV280)&lt;=$A280+6/24),OR(AW280="",N(AW280)&lt;=$A280+6/24)),1,0)))</f>
        <v>1</v>
      </c>
    </row>
    <row r="281" customFormat="false" ht="15" hidden="false" customHeight="false" outlineLevel="0" collapsed="false">
      <c r="A281" s="25" t="n">
        <f aca="false">IF(YEAR(DATE(Einstellungen!$C$4,1,1)+276)=Einstellungen!$C$4,DATE(Einstellungen!$C$4,1,1)+276,"")</f>
        <v>46664</v>
      </c>
      <c r="B281" s="26" t="str">
        <f aca="false">IF($A281="","",CHOOSE(WEEKDAY($A281,2),"Mo","Di","Mi","Do","Fr","Sa","So"))</f>
        <v>Mo</v>
      </c>
      <c r="C281" s="26" t="n">
        <f aca="false">IF($A281="","",MONTH($A281))</f>
        <v>10</v>
      </c>
      <c r="D281" s="26" t="str">
        <f aca="false">IF($A281="","",IF(INDEX(Muster!$C$6:$BF$6,1,MOD($A281-Einstellungen!$C$6,Einstellungen!$C$7)+1)="","-",INDEX(Muster!$C$6:$BF$6,1,MOD($A281-Einstellungen!$C$6,Einstellungen!$C$7)+1)))</f>
        <v>F</v>
      </c>
      <c r="E281" s="27" t="n">
        <f aca="false">IF($A281="","",IFERROR(VLOOKUP(D281,Schichten!$A$5:$G$24,6,FALSE()),0))</f>
        <v>8</v>
      </c>
      <c r="F281" s="27" t="n">
        <f aca="false">IF($A281="","",IFERROR(VLOOKUP(D281,Schichten!$A$5:$G$24,7,FALSE()),0))</f>
        <v>0</v>
      </c>
      <c r="G281" s="28" t="n">
        <f aca="false">IF($A281="","",IF(N(E281)=0,"",$A281+VLOOKUP(D281,Schichten!$A$5:$G$24,3,FALSE())))</f>
        <v>46664.25</v>
      </c>
      <c r="H281" s="28" t="n">
        <f aca="false">IF(G281="","",$A281+VLOOKUP(D281,Schichten!$A$5:$G$24,4,FALSE())+IF(VLOOKUP(D281,Schichten!$A$5:$G$24,4,FALSE())&lt;=VLOOKUP(D281,Schichten!$A$5:$G$24,3,FALSE()),1,0))</f>
        <v>46664.5833333333</v>
      </c>
      <c r="I281" s="28" t="n">
        <f aca="false">IF($A281="","",IF(N(E280)&gt;0,H280,I280))</f>
        <v>46663.5833333333</v>
      </c>
      <c r="J281" s="27" t="n">
        <f aca="false">IF(OR(G281="",I281=""),"",(G281-I281)*24)</f>
        <v>16</v>
      </c>
      <c r="K281" s="21" t="n">
        <f aca="false">IF($A281="","",IF(N(E281)&gt;0,N(K280)+1,0))</f>
        <v>2</v>
      </c>
      <c r="L281" s="21" t="n">
        <f aca="false">IF($A281="","",IF(N(F281)&gt;0,N(L280)+1,0))</f>
        <v>0</v>
      </c>
      <c r="M281" s="21" t="str">
        <f aca="false">IF($A281="","",IF(WEEKDAY($A281,2)&lt;&gt;7,"",IF(AND(OR(G281="",N(G281)&gt;=$A281+16/24,N(H281)&lt;=$A281+6/24),OR(I281="",N(I281)&lt;=$A281+6/24)),1,0)))</f>
        <v/>
      </c>
      <c r="N281" s="26" t="str">
        <f aca="false">IF($A281="","",IF(INDEX(Muster!$C$7:$BF$7,1,MOD($A281-Einstellungen!$C$6,Einstellungen!$C$7)+1)="","-",INDEX(Muster!$C$7:$BF$7,1,MOD($A281-Einstellungen!$C$6,Einstellungen!$C$7)+1)))</f>
        <v>-</v>
      </c>
      <c r="O281" s="27" t="n">
        <f aca="false">IF($A281="","",IFERROR(VLOOKUP(N281,Schichten!$A$5:$G$24,6,FALSE()),0))</f>
        <v>0</v>
      </c>
      <c r="P281" s="27" t="n">
        <f aca="false">IF($A281="","",IFERROR(VLOOKUP(N281,Schichten!$A$5:$G$24,7,FALSE()),0))</f>
        <v>0</v>
      </c>
      <c r="Q281" s="28" t="str">
        <f aca="false">IF($A281="","",IF(N(O281)=0,"",$A281+VLOOKUP(N281,Schichten!$A$5:$G$24,3,FALSE())))</f>
        <v/>
      </c>
      <c r="R281" s="28" t="str">
        <f aca="false">IF(Q281="","",$A281+VLOOKUP(N281,Schichten!$A$5:$G$24,4,FALSE())+IF(VLOOKUP(N281,Schichten!$A$5:$G$24,4,FALSE())&lt;=VLOOKUP(N281,Schichten!$A$5:$G$24,3,FALSE()),1,0))</f>
        <v/>
      </c>
      <c r="S281" s="28" t="n">
        <f aca="false">IF($A281="","",IF(N(O280)&gt;0,R280,S280))</f>
        <v>46663.25</v>
      </c>
      <c r="T281" s="27" t="str">
        <f aca="false">IF(OR(Q281="",S281=""),"",(Q281-S281)*24)</f>
        <v/>
      </c>
      <c r="U281" s="21" t="n">
        <f aca="false">IF($A281="","",IF(N(O281)&gt;0,N(U280)+1,0))</f>
        <v>0</v>
      </c>
      <c r="V281" s="21" t="n">
        <f aca="false">IF($A281="","",IF(N(P281)&gt;0,N(V280)+1,0))</f>
        <v>0</v>
      </c>
      <c r="W281" s="21" t="str">
        <f aca="false">IF($A281="","",IF(WEEKDAY($A281,2)&lt;&gt;7,"",IF(AND(OR(Q281="",N(Q281)&gt;=$A281+16/24,N(R281)&lt;=$A281+6/24),OR(S281="",N(S281)&lt;=$A281+6/24)),1,0)))</f>
        <v/>
      </c>
      <c r="X281" s="26" t="str">
        <f aca="false">IF($A281="","",IF(INDEX(Muster!$C$8:$BF$8,1,MOD($A281-Einstellungen!$C$6,Einstellungen!$C$7)+1)="","-",INDEX(Muster!$C$8:$BF$8,1,MOD($A281-Einstellungen!$C$6,Einstellungen!$C$7)+1)))</f>
        <v>N</v>
      </c>
      <c r="Y281" s="27" t="n">
        <f aca="false">IF($A281="","",IFERROR(VLOOKUP(X281,Schichten!$A$5:$G$24,6,FALSE()),0))</f>
        <v>8</v>
      </c>
      <c r="Z281" s="27" t="n">
        <f aca="false">IF($A281="","",IFERROR(VLOOKUP(X281,Schichten!$A$5:$G$24,7,FALSE()),0))</f>
        <v>7</v>
      </c>
      <c r="AA281" s="28" t="n">
        <f aca="false">IF($A281="","",IF(N(Y281)=0,"",$A281+VLOOKUP(X281,Schichten!$A$5:$G$24,3,FALSE())))</f>
        <v>46664.9166666667</v>
      </c>
      <c r="AB281" s="28" t="n">
        <f aca="false">IF(AA281="","",$A281+VLOOKUP(X281,Schichten!$A$5:$G$24,4,FALSE())+IF(VLOOKUP(X281,Schichten!$A$5:$G$24,4,FALSE())&lt;=VLOOKUP(X281,Schichten!$A$5:$G$24,3,FALSE()),1,0))</f>
        <v>46665.25</v>
      </c>
      <c r="AC281" s="28" t="n">
        <f aca="false">IF($A281="","",IF(N(Y280)&gt;0,AB280,AC280))</f>
        <v>46664.25</v>
      </c>
      <c r="AD281" s="27" t="n">
        <f aca="false">IF(OR(AA281="",AC281=""),"",(AA281-AC281)*24)</f>
        <v>16</v>
      </c>
      <c r="AE281" s="21" t="n">
        <f aca="false">IF($A281="","",IF(N(Y281)&gt;0,N(AE280)+1,0))</f>
        <v>6</v>
      </c>
      <c r="AF281" s="21" t="n">
        <f aca="false">IF($A281="","",IF(N(Z281)&gt;0,N(AF280)+1,0))</f>
        <v>2</v>
      </c>
      <c r="AG281" s="21" t="str">
        <f aca="false">IF($A281="","",IF(WEEKDAY($A281,2)&lt;&gt;7,"",IF(AND(OR(AA281="",N(AA281)&gt;=$A281+16/24,N(AB281)&lt;=$A281+6/24),OR(AC281="",N(AC281)&lt;=$A281+6/24)),1,0)))</f>
        <v/>
      </c>
      <c r="AH281" s="26" t="str">
        <f aca="false">IF($A281="","",IF(INDEX(Muster!$C$9:$BF$9,1,MOD($A281-Einstellungen!$C$6,Einstellungen!$C$7)+1)="","-",INDEX(Muster!$C$9:$BF$9,1,MOD($A281-Einstellungen!$C$6,Einstellungen!$C$7)+1)))</f>
        <v>S</v>
      </c>
      <c r="AI281" s="27" t="n">
        <f aca="false">IF($A281="","",IFERROR(VLOOKUP(AH281,Schichten!$A$5:$G$24,6,FALSE()),0))</f>
        <v>8</v>
      </c>
      <c r="AJ281" s="27" t="n">
        <f aca="false">IF($A281="","",IFERROR(VLOOKUP(AH281,Schichten!$A$5:$G$24,7,FALSE()),0))</f>
        <v>0</v>
      </c>
      <c r="AK281" s="28" t="n">
        <f aca="false">IF($A281="","",IF(N(AI281)=0,"",$A281+VLOOKUP(AH281,Schichten!$A$5:$G$24,3,FALSE())))</f>
        <v>46664.5833333333</v>
      </c>
      <c r="AL281" s="28" t="n">
        <f aca="false">IF(AK281="","",$A281+VLOOKUP(AH281,Schichten!$A$5:$G$24,4,FALSE())+IF(VLOOKUP(AH281,Schichten!$A$5:$G$24,4,FALSE())&lt;=VLOOKUP(AH281,Schichten!$A$5:$G$24,3,FALSE()),1,0))</f>
        <v>46664.9166666667</v>
      </c>
      <c r="AM281" s="28" t="n">
        <f aca="false">IF($A281="","",IF(N(AI280)&gt;0,AL280,AM280))</f>
        <v>46663.9166666667</v>
      </c>
      <c r="AN281" s="27" t="n">
        <f aca="false">IF(OR(AK281="",AM281=""),"",(AK281-AM281)*24)</f>
        <v>16</v>
      </c>
      <c r="AO281" s="21" t="n">
        <f aca="false">IF($A281="","",IF(N(AI281)&gt;0,N(AO280)+1,0))</f>
        <v>4</v>
      </c>
      <c r="AP281" s="21" t="n">
        <f aca="false">IF($A281="","",IF(N(AJ281)&gt;0,N(AP280)+1,0))</f>
        <v>0</v>
      </c>
      <c r="AQ281" s="21" t="str">
        <f aca="false">IF($A281="","",IF(WEEKDAY($A281,2)&lt;&gt;7,"",IF(AND(OR(AK281="",N(AK281)&gt;=$A281+16/24,N(AL281)&lt;=$A281+6/24),OR(AM281="",N(AM281)&lt;=$A281+6/24)),1,0)))</f>
        <v/>
      </c>
      <c r="AR281" s="26" t="str">
        <f aca="false">IF($A281="","",IF(INDEX(Muster!$C$10:$BF$10,1,MOD($A281-Einstellungen!$C$6,Einstellungen!$C$7)+1)="","-",INDEX(Muster!$C$10:$BF$10,1,MOD($A281-Einstellungen!$C$6,Einstellungen!$C$7)+1)))</f>
        <v>-</v>
      </c>
      <c r="AS281" s="27" t="n">
        <f aca="false">IF($A281="","",IFERROR(VLOOKUP(AR281,Schichten!$A$5:$G$24,6,FALSE()),0))</f>
        <v>0</v>
      </c>
      <c r="AT281" s="27" t="n">
        <f aca="false">IF($A281="","",IFERROR(VLOOKUP(AR281,Schichten!$A$5:$G$24,7,FALSE()),0))</f>
        <v>0</v>
      </c>
      <c r="AU281" s="28" t="str">
        <f aca="false">IF($A281="","",IF(N(AS281)=0,"",$A281+VLOOKUP(AR281,Schichten!$A$5:$G$24,3,FALSE())))</f>
        <v/>
      </c>
      <c r="AV281" s="28" t="str">
        <f aca="false">IF(AU281="","",$A281+VLOOKUP(AR281,Schichten!$A$5:$G$24,4,FALSE())+IF(VLOOKUP(AR281,Schichten!$A$5:$G$24,4,FALSE())&lt;=VLOOKUP(AR281,Schichten!$A$5:$G$24,3,FALSE()),1,0))</f>
        <v/>
      </c>
      <c r="AW281" s="28" t="str">
        <f aca="false">IF($A281="","",IF(N(AS280)&gt;0,AV280,AW280))</f>
        <v/>
      </c>
      <c r="AX281" s="27" t="str">
        <f aca="false">IF(OR(AU281="",AW281=""),"",(AU281-AW281)*24)</f>
        <v/>
      </c>
      <c r="AY281" s="21" t="n">
        <f aca="false">IF($A281="","",IF(N(AS281)&gt;0,N(AY280)+1,0))</f>
        <v>0</v>
      </c>
      <c r="AZ281" s="21" t="n">
        <f aca="false">IF($A281="","",IF(N(AT281)&gt;0,N(AZ280)+1,0))</f>
        <v>0</v>
      </c>
      <c r="BA281" s="21" t="str">
        <f aca="false">IF($A281="","",IF(WEEKDAY($A281,2)&lt;&gt;7,"",IF(AND(OR(AU281="",N(AU281)&gt;=$A281+16/24,N(AV281)&lt;=$A281+6/24),OR(AW281="",N(AW281)&lt;=$A281+6/24)),1,0)))</f>
        <v/>
      </c>
    </row>
    <row r="282" customFormat="false" ht="15" hidden="false" customHeight="false" outlineLevel="0" collapsed="false">
      <c r="A282" s="25" t="n">
        <f aca="false">IF(YEAR(DATE(Einstellungen!$C$4,1,1)+277)=Einstellungen!$C$4,DATE(Einstellungen!$C$4,1,1)+277,"")</f>
        <v>46665</v>
      </c>
      <c r="B282" s="26" t="str">
        <f aca="false">IF($A282="","",CHOOSE(WEEKDAY($A282,2),"Mo","Di","Mi","Do","Fr","Sa","So"))</f>
        <v>Di</v>
      </c>
      <c r="C282" s="26" t="n">
        <f aca="false">IF($A282="","",MONTH($A282))</f>
        <v>10</v>
      </c>
      <c r="D282" s="26" t="str">
        <f aca="false">IF($A282="","",IF(INDEX(Muster!$C$6:$BF$6,1,MOD($A282-Einstellungen!$C$6,Einstellungen!$C$7)+1)="","-",INDEX(Muster!$C$6:$BF$6,1,MOD($A282-Einstellungen!$C$6,Einstellungen!$C$7)+1)))</f>
        <v>S</v>
      </c>
      <c r="E282" s="27" t="n">
        <f aca="false">IF($A282="","",IFERROR(VLOOKUP(D282,Schichten!$A$5:$G$24,6,FALSE()),0))</f>
        <v>8</v>
      </c>
      <c r="F282" s="27" t="n">
        <f aca="false">IF($A282="","",IFERROR(VLOOKUP(D282,Schichten!$A$5:$G$24,7,FALSE()),0))</f>
        <v>0</v>
      </c>
      <c r="G282" s="28" t="n">
        <f aca="false">IF($A282="","",IF(N(E282)=0,"",$A282+VLOOKUP(D282,Schichten!$A$5:$G$24,3,FALSE())))</f>
        <v>46665.5833333333</v>
      </c>
      <c r="H282" s="28" t="n">
        <f aca="false">IF(G282="","",$A282+VLOOKUP(D282,Schichten!$A$5:$G$24,4,FALSE())+IF(VLOOKUP(D282,Schichten!$A$5:$G$24,4,FALSE())&lt;=VLOOKUP(D282,Schichten!$A$5:$G$24,3,FALSE()),1,0))</f>
        <v>46665.9166666667</v>
      </c>
      <c r="I282" s="28" t="n">
        <f aca="false">IF($A282="","",IF(N(E281)&gt;0,H281,I281))</f>
        <v>46664.5833333333</v>
      </c>
      <c r="J282" s="27" t="n">
        <f aca="false">IF(OR(G282="",I282=""),"",(G282-I282)*24)</f>
        <v>24</v>
      </c>
      <c r="K282" s="21" t="n">
        <f aca="false">IF($A282="","",IF(N(E282)&gt;0,N(K281)+1,0))</f>
        <v>3</v>
      </c>
      <c r="L282" s="21" t="n">
        <f aca="false">IF($A282="","",IF(N(F282)&gt;0,N(L281)+1,0))</f>
        <v>0</v>
      </c>
      <c r="M282" s="21" t="str">
        <f aca="false">IF($A282="","",IF(WEEKDAY($A282,2)&lt;&gt;7,"",IF(AND(OR(G282="",N(G282)&gt;=$A282+16/24,N(H282)&lt;=$A282+6/24),OR(I282="",N(I282)&lt;=$A282+6/24)),1,0)))</f>
        <v/>
      </c>
      <c r="N282" s="26" t="str">
        <f aca="false">IF($A282="","",IF(INDEX(Muster!$C$7:$BF$7,1,MOD($A282-Einstellungen!$C$6,Einstellungen!$C$7)+1)="","-",INDEX(Muster!$C$7:$BF$7,1,MOD($A282-Einstellungen!$C$6,Einstellungen!$C$7)+1)))</f>
        <v>F</v>
      </c>
      <c r="O282" s="27" t="n">
        <f aca="false">IF($A282="","",IFERROR(VLOOKUP(N282,Schichten!$A$5:$G$24,6,FALSE()),0))</f>
        <v>8</v>
      </c>
      <c r="P282" s="27" t="n">
        <f aca="false">IF($A282="","",IFERROR(VLOOKUP(N282,Schichten!$A$5:$G$24,7,FALSE()),0))</f>
        <v>0</v>
      </c>
      <c r="Q282" s="28" t="n">
        <f aca="false">IF($A282="","",IF(N(O282)=0,"",$A282+VLOOKUP(N282,Schichten!$A$5:$G$24,3,FALSE())))</f>
        <v>46665.25</v>
      </c>
      <c r="R282" s="28" t="n">
        <f aca="false">IF(Q282="","",$A282+VLOOKUP(N282,Schichten!$A$5:$G$24,4,FALSE())+IF(VLOOKUP(N282,Schichten!$A$5:$G$24,4,FALSE())&lt;=VLOOKUP(N282,Schichten!$A$5:$G$24,3,FALSE()),1,0))</f>
        <v>46665.5833333333</v>
      </c>
      <c r="S282" s="28" t="n">
        <f aca="false">IF($A282="","",IF(N(O281)&gt;0,R281,S281))</f>
        <v>46663.25</v>
      </c>
      <c r="T282" s="27" t="n">
        <f aca="false">IF(OR(Q282="",S282=""),"",(Q282-S282)*24)</f>
        <v>48</v>
      </c>
      <c r="U282" s="21" t="n">
        <f aca="false">IF($A282="","",IF(N(O282)&gt;0,N(U281)+1,0))</f>
        <v>1</v>
      </c>
      <c r="V282" s="21" t="n">
        <f aca="false">IF($A282="","",IF(N(P282)&gt;0,N(V281)+1,0))</f>
        <v>0</v>
      </c>
      <c r="W282" s="21" t="str">
        <f aca="false">IF($A282="","",IF(WEEKDAY($A282,2)&lt;&gt;7,"",IF(AND(OR(Q282="",N(Q282)&gt;=$A282+16/24,N(R282)&lt;=$A282+6/24),OR(S282="",N(S282)&lt;=$A282+6/24)),1,0)))</f>
        <v/>
      </c>
      <c r="X282" s="26" t="str">
        <f aca="false">IF($A282="","",IF(INDEX(Muster!$C$8:$BF$8,1,MOD($A282-Einstellungen!$C$6,Einstellungen!$C$7)+1)="","-",INDEX(Muster!$C$8:$BF$8,1,MOD($A282-Einstellungen!$C$6,Einstellungen!$C$7)+1)))</f>
        <v>-</v>
      </c>
      <c r="Y282" s="27" t="n">
        <f aca="false">IF($A282="","",IFERROR(VLOOKUP(X282,Schichten!$A$5:$G$24,6,FALSE()),0))</f>
        <v>0</v>
      </c>
      <c r="Z282" s="27" t="n">
        <f aca="false">IF($A282="","",IFERROR(VLOOKUP(X282,Schichten!$A$5:$G$24,7,FALSE()),0))</f>
        <v>0</v>
      </c>
      <c r="AA282" s="28" t="str">
        <f aca="false">IF($A282="","",IF(N(Y282)=0,"",$A282+VLOOKUP(X282,Schichten!$A$5:$G$24,3,FALSE())))</f>
        <v/>
      </c>
      <c r="AB282" s="28" t="str">
        <f aca="false">IF(AA282="","",$A282+VLOOKUP(X282,Schichten!$A$5:$G$24,4,FALSE())+IF(VLOOKUP(X282,Schichten!$A$5:$G$24,4,FALSE())&lt;=VLOOKUP(X282,Schichten!$A$5:$G$24,3,FALSE()),1,0))</f>
        <v/>
      </c>
      <c r="AC282" s="28" t="n">
        <f aca="false">IF($A282="","",IF(N(Y281)&gt;0,AB281,AC281))</f>
        <v>46665.25</v>
      </c>
      <c r="AD282" s="27" t="str">
        <f aca="false">IF(OR(AA282="",AC282=""),"",(AA282-AC282)*24)</f>
        <v/>
      </c>
      <c r="AE282" s="21" t="n">
        <f aca="false">IF($A282="","",IF(N(Y282)&gt;0,N(AE281)+1,0))</f>
        <v>0</v>
      </c>
      <c r="AF282" s="21" t="n">
        <f aca="false">IF($A282="","",IF(N(Z282)&gt;0,N(AF281)+1,0))</f>
        <v>0</v>
      </c>
      <c r="AG282" s="21" t="str">
        <f aca="false">IF($A282="","",IF(WEEKDAY($A282,2)&lt;&gt;7,"",IF(AND(OR(AA282="",N(AA282)&gt;=$A282+16/24,N(AB282)&lt;=$A282+6/24),OR(AC282="",N(AC282)&lt;=$A282+6/24)),1,0)))</f>
        <v/>
      </c>
      <c r="AH282" s="26" t="str">
        <f aca="false">IF($A282="","",IF(INDEX(Muster!$C$9:$BF$9,1,MOD($A282-Einstellungen!$C$6,Einstellungen!$C$7)+1)="","-",INDEX(Muster!$C$9:$BF$9,1,MOD($A282-Einstellungen!$C$6,Einstellungen!$C$7)+1)))</f>
        <v>N</v>
      </c>
      <c r="AI282" s="27" t="n">
        <f aca="false">IF($A282="","",IFERROR(VLOOKUP(AH282,Schichten!$A$5:$G$24,6,FALSE()),0))</f>
        <v>8</v>
      </c>
      <c r="AJ282" s="27" t="n">
        <f aca="false">IF($A282="","",IFERROR(VLOOKUP(AH282,Schichten!$A$5:$G$24,7,FALSE()),0))</f>
        <v>7</v>
      </c>
      <c r="AK282" s="28" t="n">
        <f aca="false">IF($A282="","",IF(N(AI282)=0,"",$A282+VLOOKUP(AH282,Schichten!$A$5:$G$24,3,FALSE())))</f>
        <v>46665.9166666667</v>
      </c>
      <c r="AL282" s="28" t="n">
        <f aca="false">IF(AK282="","",$A282+VLOOKUP(AH282,Schichten!$A$5:$G$24,4,FALSE())+IF(VLOOKUP(AH282,Schichten!$A$5:$G$24,4,FALSE())&lt;=VLOOKUP(AH282,Schichten!$A$5:$G$24,3,FALSE()),1,0))</f>
        <v>46666.25</v>
      </c>
      <c r="AM282" s="28" t="n">
        <f aca="false">IF($A282="","",IF(N(AI281)&gt;0,AL281,AM281))</f>
        <v>46664.9166666667</v>
      </c>
      <c r="AN282" s="27" t="n">
        <f aca="false">IF(OR(AK282="",AM282=""),"",(AK282-AM282)*24)</f>
        <v>24</v>
      </c>
      <c r="AO282" s="21" t="n">
        <f aca="false">IF($A282="","",IF(N(AI282)&gt;0,N(AO281)+1,0))</f>
        <v>5</v>
      </c>
      <c r="AP282" s="21" t="n">
        <f aca="false">IF($A282="","",IF(N(AJ282)&gt;0,N(AP281)+1,0))</f>
        <v>1</v>
      </c>
      <c r="AQ282" s="21" t="str">
        <f aca="false">IF($A282="","",IF(WEEKDAY($A282,2)&lt;&gt;7,"",IF(AND(OR(AK282="",N(AK282)&gt;=$A282+16/24,N(AL282)&lt;=$A282+6/24),OR(AM282="",N(AM282)&lt;=$A282+6/24)),1,0)))</f>
        <v/>
      </c>
      <c r="AR282" s="26" t="str">
        <f aca="false">IF($A282="","",IF(INDEX(Muster!$C$10:$BF$10,1,MOD($A282-Einstellungen!$C$6,Einstellungen!$C$7)+1)="","-",INDEX(Muster!$C$10:$BF$10,1,MOD($A282-Einstellungen!$C$6,Einstellungen!$C$7)+1)))</f>
        <v>-</v>
      </c>
      <c r="AS282" s="27" t="n">
        <f aca="false">IF($A282="","",IFERROR(VLOOKUP(AR282,Schichten!$A$5:$G$24,6,FALSE()),0))</f>
        <v>0</v>
      </c>
      <c r="AT282" s="27" t="n">
        <f aca="false">IF($A282="","",IFERROR(VLOOKUP(AR282,Schichten!$A$5:$G$24,7,FALSE()),0))</f>
        <v>0</v>
      </c>
      <c r="AU282" s="28" t="str">
        <f aca="false">IF($A282="","",IF(N(AS282)=0,"",$A282+VLOOKUP(AR282,Schichten!$A$5:$G$24,3,FALSE())))</f>
        <v/>
      </c>
      <c r="AV282" s="28" t="str">
        <f aca="false">IF(AU282="","",$A282+VLOOKUP(AR282,Schichten!$A$5:$G$24,4,FALSE())+IF(VLOOKUP(AR282,Schichten!$A$5:$G$24,4,FALSE())&lt;=VLOOKUP(AR282,Schichten!$A$5:$G$24,3,FALSE()),1,0))</f>
        <v/>
      </c>
      <c r="AW282" s="28" t="str">
        <f aca="false">IF($A282="","",IF(N(AS281)&gt;0,AV281,AW281))</f>
        <v/>
      </c>
      <c r="AX282" s="27" t="str">
        <f aca="false">IF(OR(AU282="",AW282=""),"",(AU282-AW282)*24)</f>
        <v/>
      </c>
      <c r="AY282" s="21" t="n">
        <f aca="false">IF($A282="","",IF(N(AS282)&gt;0,N(AY281)+1,0))</f>
        <v>0</v>
      </c>
      <c r="AZ282" s="21" t="n">
        <f aca="false">IF($A282="","",IF(N(AT282)&gt;0,N(AZ281)+1,0))</f>
        <v>0</v>
      </c>
      <c r="BA282" s="21" t="str">
        <f aca="false">IF($A282="","",IF(WEEKDAY($A282,2)&lt;&gt;7,"",IF(AND(OR(AU282="",N(AU282)&gt;=$A282+16/24,N(AV282)&lt;=$A282+6/24),OR(AW282="",N(AW282)&lt;=$A282+6/24)),1,0)))</f>
        <v/>
      </c>
    </row>
    <row r="283" customFormat="false" ht="15" hidden="false" customHeight="false" outlineLevel="0" collapsed="false">
      <c r="A283" s="25" t="n">
        <f aca="false">IF(YEAR(DATE(Einstellungen!$C$4,1,1)+278)=Einstellungen!$C$4,DATE(Einstellungen!$C$4,1,1)+278,"")</f>
        <v>46666</v>
      </c>
      <c r="B283" s="26" t="str">
        <f aca="false">IF($A283="","",CHOOSE(WEEKDAY($A283,2),"Mo","Di","Mi","Do","Fr","Sa","So"))</f>
        <v>Mi</v>
      </c>
      <c r="C283" s="26" t="n">
        <f aca="false">IF($A283="","",MONTH($A283))</f>
        <v>10</v>
      </c>
      <c r="D283" s="26" t="str">
        <f aca="false">IF($A283="","",IF(INDEX(Muster!$C$6:$BF$6,1,MOD($A283-Einstellungen!$C$6,Einstellungen!$C$7)+1)="","-",INDEX(Muster!$C$6:$BF$6,1,MOD($A283-Einstellungen!$C$6,Einstellungen!$C$7)+1)))</f>
        <v>S</v>
      </c>
      <c r="E283" s="27" t="n">
        <f aca="false">IF($A283="","",IFERROR(VLOOKUP(D283,Schichten!$A$5:$G$24,6,FALSE()),0))</f>
        <v>8</v>
      </c>
      <c r="F283" s="27" t="n">
        <f aca="false">IF($A283="","",IFERROR(VLOOKUP(D283,Schichten!$A$5:$G$24,7,FALSE()),0))</f>
        <v>0</v>
      </c>
      <c r="G283" s="28" t="n">
        <f aca="false">IF($A283="","",IF(N(E283)=0,"",$A283+VLOOKUP(D283,Schichten!$A$5:$G$24,3,FALSE())))</f>
        <v>46666.5833333333</v>
      </c>
      <c r="H283" s="28" t="n">
        <f aca="false">IF(G283="","",$A283+VLOOKUP(D283,Schichten!$A$5:$G$24,4,FALSE())+IF(VLOOKUP(D283,Schichten!$A$5:$G$24,4,FALSE())&lt;=VLOOKUP(D283,Schichten!$A$5:$G$24,3,FALSE()),1,0))</f>
        <v>46666.9166666667</v>
      </c>
      <c r="I283" s="28" t="n">
        <f aca="false">IF($A283="","",IF(N(E282)&gt;0,H282,I282))</f>
        <v>46665.9166666667</v>
      </c>
      <c r="J283" s="27" t="n">
        <f aca="false">IF(OR(G283="",I283=""),"",(G283-I283)*24)</f>
        <v>16</v>
      </c>
      <c r="K283" s="21" t="n">
        <f aca="false">IF($A283="","",IF(N(E283)&gt;0,N(K282)+1,0))</f>
        <v>4</v>
      </c>
      <c r="L283" s="21" t="n">
        <f aca="false">IF($A283="","",IF(N(F283)&gt;0,N(L282)+1,0))</f>
        <v>0</v>
      </c>
      <c r="M283" s="21" t="str">
        <f aca="false">IF($A283="","",IF(WEEKDAY($A283,2)&lt;&gt;7,"",IF(AND(OR(G283="",N(G283)&gt;=$A283+16/24,N(H283)&lt;=$A283+6/24),OR(I283="",N(I283)&lt;=$A283+6/24)),1,0)))</f>
        <v/>
      </c>
      <c r="N283" s="26" t="str">
        <f aca="false">IF($A283="","",IF(INDEX(Muster!$C$7:$BF$7,1,MOD($A283-Einstellungen!$C$6,Einstellungen!$C$7)+1)="","-",INDEX(Muster!$C$7:$BF$7,1,MOD($A283-Einstellungen!$C$6,Einstellungen!$C$7)+1)))</f>
        <v>F</v>
      </c>
      <c r="O283" s="27" t="n">
        <f aca="false">IF($A283="","",IFERROR(VLOOKUP(N283,Schichten!$A$5:$G$24,6,FALSE()),0))</f>
        <v>8</v>
      </c>
      <c r="P283" s="27" t="n">
        <f aca="false">IF($A283="","",IFERROR(VLOOKUP(N283,Schichten!$A$5:$G$24,7,FALSE()),0))</f>
        <v>0</v>
      </c>
      <c r="Q283" s="28" t="n">
        <f aca="false">IF($A283="","",IF(N(O283)=0,"",$A283+VLOOKUP(N283,Schichten!$A$5:$G$24,3,FALSE())))</f>
        <v>46666.25</v>
      </c>
      <c r="R283" s="28" t="n">
        <f aca="false">IF(Q283="","",$A283+VLOOKUP(N283,Schichten!$A$5:$G$24,4,FALSE())+IF(VLOOKUP(N283,Schichten!$A$5:$G$24,4,FALSE())&lt;=VLOOKUP(N283,Schichten!$A$5:$G$24,3,FALSE()),1,0))</f>
        <v>46666.5833333333</v>
      </c>
      <c r="S283" s="28" t="n">
        <f aca="false">IF($A283="","",IF(N(O282)&gt;0,R282,S282))</f>
        <v>46665.5833333333</v>
      </c>
      <c r="T283" s="27" t="n">
        <f aca="false">IF(OR(Q283="",S283=""),"",(Q283-S283)*24)</f>
        <v>16</v>
      </c>
      <c r="U283" s="21" t="n">
        <f aca="false">IF($A283="","",IF(N(O283)&gt;0,N(U282)+1,0))</f>
        <v>2</v>
      </c>
      <c r="V283" s="21" t="n">
        <f aca="false">IF($A283="","",IF(N(P283)&gt;0,N(V282)+1,0))</f>
        <v>0</v>
      </c>
      <c r="W283" s="21" t="str">
        <f aca="false">IF($A283="","",IF(WEEKDAY($A283,2)&lt;&gt;7,"",IF(AND(OR(Q283="",N(Q283)&gt;=$A283+16/24,N(R283)&lt;=$A283+6/24),OR(S283="",N(S283)&lt;=$A283+6/24)),1,0)))</f>
        <v/>
      </c>
      <c r="X283" s="26" t="str">
        <f aca="false">IF($A283="","",IF(INDEX(Muster!$C$8:$BF$8,1,MOD($A283-Einstellungen!$C$6,Einstellungen!$C$7)+1)="","-",INDEX(Muster!$C$8:$BF$8,1,MOD($A283-Einstellungen!$C$6,Einstellungen!$C$7)+1)))</f>
        <v>-</v>
      </c>
      <c r="Y283" s="27" t="n">
        <f aca="false">IF($A283="","",IFERROR(VLOOKUP(X283,Schichten!$A$5:$G$24,6,FALSE()),0))</f>
        <v>0</v>
      </c>
      <c r="Z283" s="27" t="n">
        <f aca="false">IF($A283="","",IFERROR(VLOOKUP(X283,Schichten!$A$5:$G$24,7,FALSE()),0))</f>
        <v>0</v>
      </c>
      <c r="AA283" s="28" t="str">
        <f aca="false">IF($A283="","",IF(N(Y283)=0,"",$A283+VLOOKUP(X283,Schichten!$A$5:$G$24,3,FALSE())))</f>
        <v/>
      </c>
      <c r="AB283" s="28" t="str">
        <f aca="false">IF(AA283="","",$A283+VLOOKUP(X283,Schichten!$A$5:$G$24,4,FALSE())+IF(VLOOKUP(X283,Schichten!$A$5:$G$24,4,FALSE())&lt;=VLOOKUP(X283,Schichten!$A$5:$G$24,3,FALSE()),1,0))</f>
        <v/>
      </c>
      <c r="AC283" s="28" t="n">
        <f aca="false">IF($A283="","",IF(N(Y282)&gt;0,AB282,AC282))</f>
        <v>46665.25</v>
      </c>
      <c r="AD283" s="27" t="str">
        <f aca="false">IF(OR(AA283="",AC283=""),"",(AA283-AC283)*24)</f>
        <v/>
      </c>
      <c r="AE283" s="21" t="n">
        <f aca="false">IF($A283="","",IF(N(Y283)&gt;0,N(AE282)+1,0))</f>
        <v>0</v>
      </c>
      <c r="AF283" s="21" t="n">
        <f aca="false">IF($A283="","",IF(N(Z283)&gt;0,N(AF282)+1,0))</f>
        <v>0</v>
      </c>
      <c r="AG283" s="21" t="str">
        <f aca="false">IF($A283="","",IF(WEEKDAY($A283,2)&lt;&gt;7,"",IF(AND(OR(AA283="",N(AA283)&gt;=$A283+16/24,N(AB283)&lt;=$A283+6/24),OR(AC283="",N(AC283)&lt;=$A283+6/24)),1,0)))</f>
        <v/>
      </c>
      <c r="AH283" s="26" t="str">
        <f aca="false">IF($A283="","",IF(INDEX(Muster!$C$9:$BF$9,1,MOD($A283-Einstellungen!$C$6,Einstellungen!$C$7)+1)="","-",INDEX(Muster!$C$9:$BF$9,1,MOD($A283-Einstellungen!$C$6,Einstellungen!$C$7)+1)))</f>
        <v>N</v>
      </c>
      <c r="AI283" s="27" t="n">
        <f aca="false">IF($A283="","",IFERROR(VLOOKUP(AH283,Schichten!$A$5:$G$24,6,FALSE()),0))</f>
        <v>8</v>
      </c>
      <c r="AJ283" s="27" t="n">
        <f aca="false">IF($A283="","",IFERROR(VLOOKUP(AH283,Schichten!$A$5:$G$24,7,FALSE()),0))</f>
        <v>7</v>
      </c>
      <c r="AK283" s="28" t="n">
        <f aca="false">IF($A283="","",IF(N(AI283)=0,"",$A283+VLOOKUP(AH283,Schichten!$A$5:$G$24,3,FALSE())))</f>
        <v>46666.9166666667</v>
      </c>
      <c r="AL283" s="28" t="n">
        <f aca="false">IF(AK283="","",$A283+VLOOKUP(AH283,Schichten!$A$5:$G$24,4,FALSE())+IF(VLOOKUP(AH283,Schichten!$A$5:$G$24,4,FALSE())&lt;=VLOOKUP(AH283,Schichten!$A$5:$G$24,3,FALSE()),1,0))</f>
        <v>46667.25</v>
      </c>
      <c r="AM283" s="28" t="n">
        <f aca="false">IF($A283="","",IF(N(AI282)&gt;0,AL282,AM282))</f>
        <v>46666.25</v>
      </c>
      <c r="AN283" s="27" t="n">
        <f aca="false">IF(OR(AK283="",AM283=""),"",(AK283-AM283)*24)</f>
        <v>16</v>
      </c>
      <c r="AO283" s="21" t="n">
        <f aca="false">IF($A283="","",IF(N(AI283)&gt;0,N(AO282)+1,0))</f>
        <v>6</v>
      </c>
      <c r="AP283" s="21" t="n">
        <f aca="false">IF($A283="","",IF(N(AJ283)&gt;0,N(AP282)+1,0))</f>
        <v>2</v>
      </c>
      <c r="AQ283" s="21" t="str">
        <f aca="false">IF($A283="","",IF(WEEKDAY($A283,2)&lt;&gt;7,"",IF(AND(OR(AK283="",N(AK283)&gt;=$A283+16/24,N(AL283)&lt;=$A283+6/24),OR(AM283="",N(AM283)&lt;=$A283+6/24)),1,0)))</f>
        <v/>
      </c>
      <c r="AR283" s="26" t="str">
        <f aca="false">IF($A283="","",IF(INDEX(Muster!$C$10:$BF$10,1,MOD($A283-Einstellungen!$C$6,Einstellungen!$C$7)+1)="","-",INDEX(Muster!$C$10:$BF$10,1,MOD($A283-Einstellungen!$C$6,Einstellungen!$C$7)+1)))</f>
        <v>-</v>
      </c>
      <c r="AS283" s="27" t="n">
        <f aca="false">IF($A283="","",IFERROR(VLOOKUP(AR283,Schichten!$A$5:$G$24,6,FALSE()),0))</f>
        <v>0</v>
      </c>
      <c r="AT283" s="27" t="n">
        <f aca="false">IF($A283="","",IFERROR(VLOOKUP(AR283,Schichten!$A$5:$G$24,7,FALSE()),0))</f>
        <v>0</v>
      </c>
      <c r="AU283" s="28" t="str">
        <f aca="false">IF($A283="","",IF(N(AS283)=0,"",$A283+VLOOKUP(AR283,Schichten!$A$5:$G$24,3,FALSE())))</f>
        <v/>
      </c>
      <c r="AV283" s="28" t="str">
        <f aca="false">IF(AU283="","",$A283+VLOOKUP(AR283,Schichten!$A$5:$G$24,4,FALSE())+IF(VLOOKUP(AR283,Schichten!$A$5:$G$24,4,FALSE())&lt;=VLOOKUP(AR283,Schichten!$A$5:$G$24,3,FALSE()),1,0))</f>
        <v/>
      </c>
      <c r="AW283" s="28" t="str">
        <f aca="false">IF($A283="","",IF(N(AS282)&gt;0,AV282,AW282))</f>
        <v/>
      </c>
      <c r="AX283" s="27" t="str">
        <f aca="false">IF(OR(AU283="",AW283=""),"",(AU283-AW283)*24)</f>
        <v/>
      </c>
      <c r="AY283" s="21" t="n">
        <f aca="false">IF($A283="","",IF(N(AS283)&gt;0,N(AY282)+1,0))</f>
        <v>0</v>
      </c>
      <c r="AZ283" s="21" t="n">
        <f aca="false">IF($A283="","",IF(N(AT283)&gt;0,N(AZ282)+1,0))</f>
        <v>0</v>
      </c>
      <c r="BA283" s="21" t="str">
        <f aca="false">IF($A283="","",IF(WEEKDAY($A283,2)&lt;&gt;7,"",IF(AND(OR(AU283="",N(AU283)&gt;=$A283+16/24,N(AV283)&lt;=$A283+6/24),OR(AW283="",N(AW283)&lt;=$A283+6/24)),1,0)))</f>
        <v/>
      </c>
    </row>
    <row r="284" customFormat="false" ht="15" hidden="false" customHeight="false" outlineLevel="0" collapsed="false">
      <c r="A284" s="25" t="n">
        <f aca="false">IF(YEAR(DATE(Einstellungen!$C$4,1,1)+279)=Einstellungen!$C$4,DATE(Einstellungen!$C$4,1,1)+279,"")</f>
        <v>46667</v>
      </c>
      <c r="B284" s="26" t="str">
        <f aca="false">IF($A284="","",CHOOSE(WEEKDAY($A284,2),"Mo","Di","Mi","Do","Fr","Sa","So"))</f>
        <v>Do</v>
      </c>
      <c r="C284" s="26" t="n">
        <f aca="false">IF($A284="","",MONTH($A284))</f>
        <v>10</v>
      </c>
      <c r="D284" s="26" t="str">
        <f aca="false">IF($A284="","",IF(INDEX(Muster!$C$6:$BF$6,1,MOD($A284-Einstellungen!$C$6,Einstellungen!$C$7)+1)="","-",INDEX(Muster!$C$6:$BF$6,1,MOD($A284-Einstellungen!$C$6,Einstellungen!$C$7)+1)))</f>
        <v>N</v>
      </c>
      <c r="E284" s="27" t="n">
        <f aca="false">IF($A284="","",IFERROR(VLOOKUP(D284,Schichten!$A$5:$G$24,6,FALSE()),0))</f>
        <v>8</v>
      </c>
      <c r="F284" s="27" t="n">
        <f aca="false">IF($A284="","",IFERROR(VLOOKUP(D284,Schichten!$A$5:$G$24,7,FALSE()),0))</f>
        <v>7</v>
      </c>
      <c r="G284" s="28" t="n">
        <f aca="false">IF($A284="","",IF(N(E284)=0,"",$A284+VLOOKUP(D284,Schichten!$A$5:$G$24,3,FALSE())))</f>
        <v>46667.9166666667</v>
      </c>
      <c r="H284" s="28" t="n">
        <f aca="false">IF(G284="","",$A284+VLOOKUP(D284,Schichten!$A$5:$G$24,4,FALSE())+IF(VLOOKUP(D284,Schichten!$A$5:$G$24,4,FALSE())&lt;=VLOOKUP(D284,Schichten!$A$5:$G$24,3,FALSE()),1,0))</f>
        <v>46668.25</v>
      </c>
      <c r="I284" s="28" t="n">
        <f aca="false">IF($A284="","",IF(N(E283)&gt;0,H283,I283))</f>
        <v>46666.9166666667</v>
      </c>
      <c r="J284" s="27" t="n">
        <f aca="false">IF(OR(G284="",I284=""),"",(G284-I284)*24)</f>
        <v>24</v>
      </c>
      <c r="K284" s="21" t="n">
        <f aca="false">IF($A284="","",IF(N(E284)&gt;0,N(K283)+1,0))</f>
        <v>5</v>
      </c>
      <c r="L284" s="21" t="n">
        <f aca="false">IF($A284="","",IF(N(F284)&gt;0,N(L283)+1,0))</f>
        <v>1</v>
      </c>
      <c r="M284" s="21" t="str">
        <f aca="false">IF($A284="","",IF(WEEKDAY($A284,2)&lt;&gt;7,"",IF(AND(OR(G284="",N(G284)&gt;=$A284+16/24,N(H284)&lt;=$A284+6/24),OR(I284="",N(I284)&lt;=$A284+6/24)),1,0)))</f>
        <v/>
      </c>
      <c r="N284" s="26" t="str">
        <f aca="false">IF($A284="","",IF(INDEX(Muster!$C$7:$BF$7,1,MOD($A284-Einstellungen!$C$6,Einstellungen!$C$7)+1)="","-",INDEX(Muster!$C$7:$BF$7,1,MOD($A284-Einstellungen!$C$6,Einstellungen!$C$7)+1)))</f>
        <v>S</v>
      </c>
      <c r="O284" s="27" t="n">
        <f aca="false">IF($A284="","",IFERROR(VLOOKUP(N284,Schichten!$A$5:$G$24,6,FALSE()),0))</f>
        <v>8</v>
      </c>
      <c r="P284" s="27" t="n">
        <f aca="false">IF($A284="","",IFERROR(VLOOKUP(N284,Schichten!$A$5:$G$24,7,FALSE()),0))</f>
        <v>0</v>
      </c>
      <c r="Q284" s="28" t="n">
        <f aca="false">IF($A284="","",IF(N(O284)=0,"",$A284+VLOOKUP(N284,Schichten!$A$5:$G$24,3,FALSE())))</f>
        <v>46667.5833333333</v>
      </c>
      <c r="R284" s="28" t="n">
        <f aca="false">IF(Q284="","",$A284+VLOOKUP(N284,Schichten!$A$5:$G$24,4,FALSE())+IF(VLOOKUP(N284,Schichten!$A$5:$G$24,4,FALSE())&lt;=VLOOKUP(N284,Schichten!$A$5:$G$24,3,FALSE()),1,0))</f>
        <v>46667.9166666667</v>
      </c>
      <c r="S284" s="28" t="n">
        <f aca="false">IF($A284="","",IF(N(O283)&gt;0,R283,S283))</f>
        <v>46666.5833333333</v>
      </c>
      <c r="T284" s="27" t="n">
        <f aca="false">IF(OR(Q284="",S284=""),"",(Q284-S284)*24)</f>
        <v>24</v>
      </c>
      <c r="U284" s="21" t="n">
        <f aca="false">IF($A284="","",IF(N(O284)&gt;0,N(U283)+1,0))</f>
        <v>3</v>
      </c>
      <c r="V284" s="21" t="n">
        <f aca="false">IF($A284="","",IF(N(P284)&gt;0,N(V283)+1,0))</f>
        <v>0</v>
      </c>
      <c r="W284" s="21" t="str">
        <f aca="false">IF($A284="","",IF(WEEKDAY($A284,2)&lt;&gt;7,"",IF(AND(OR(Q284="",N(Q284)&gt;=$A284+16/24,N(R284)&lt;=$A284+6/24),OR(S284="",N(S284)&lt;=$A284+6/24)),1,0)))</f>
        <v/>
      </c>
      <c r="X284" s="26" t="str">
        <f aca="false">IF($A284="","",IF(INDEX(Muster!$C$8:$BF$8,1,MOD($A284-Einstellungen!$C$6,Einstellungen!$C$7)+1)="","-",INDEX(Muster!$C$8:$BF$8,1,MOD($A284-Einstellungen!$C$6,Einstellungen!$C$7)+1)))</f>
        <v>F</v>
      </c>
      <c r="Y284" s="27" t="n">
        <f aca="false">IF($A284="","",IFERROR(VLOOKUP(X284,Schichten!$A$5:$G$24,6,FALSE()),0))</f>
        <v>8</v>
      </c>
      <c r="Z284" s="27" t="n">
        <f aca="false">IF($A284="","",IFERROR(VLOOKUP(X284,Schichten!$A$5:$G$24,7,FALSE()),0))</f>
        <v>0</v>
      </c>
      <c r="AA284" s="28" t="n">
        <f aca="false">IF($A284="","",IF(N(Y284)=0,"",$A284+VLOOKUP(X284,Schichten!$A$5:$G$24,3,FALSE())))</f>
        <v>46667.25</v>
      </c>
      <c r="AB284" s="28" t="n">
        <f aca="false">IF(AA284="","",$A284+VLOOKUP(X284,Schichten!$A$5:$G$24,4,FALSE())+IF(VLOOKUP(X284,Schichten!$A$5:$G$24,4,FALSE())&lt;=VLOOKUP(X284,Schichten!$A$5:$G$24,3,FALSE()),1,0))</f>
        <v>46667.5833333333</v>
      </c>
      <c r="AC284" s="28" t="n">
        <f aca="false">IF($A284="","",IF(N(Y283)&gt;0,AB283,AC283))</f>
        <v>46665.25</v>
      </c>
      <c r="AD284" s="27" t="n">
        <f aca="false">IF(OR(AA284="",AC284=""),"",(AA284-AC284)*24)</f>
        <v>48</v>
      </c>
      <c r="AE284" s="21" t="n">
        <f aca="false">IF($A284="","",IF(N(Y284)&gt;0,N(AE283)+1,0))</f>
        <v>1</v>
      </c>
      <c r="AF284" s="21" t="n">
        <f aca="false">IF($A284="","",IF(N(Z284)&gt;0,N(AF283)+1,0))</f>
        <v>0</v>
      </c>
      <c r="AG284" s="21" t="str">
        <f aca="false">IF($A284="","",IF(WEEKDAY($A284,2)&lt;&gt;7,"",IF(AND(OR(AA284="",N(AA284)&gt;=$A284+16/24,N(AB284)&lt;=$A284+6/24),OR(AC284="",N(AC284)&lt;=$A284+6/24)),1,0)))</f>
        <v/>
      </c>
      <c r="AH284" s="26" t="str">
        <f aca="false">IF($A284="","",IF(INDEX(Muster!$C$9:$BF$9,1,MOD($A284-Einstellungen!$C$6,Einstellungen!$C$7)+1)="","-",INDEX(Muster!$C$9:$BF$9,1,MOD($A284-Einstellungen!$C$6,Einstellungen!$C$7)+1)))</f>
        <v>-</v>
      </c>
      <c r="AI284" s="27" t="n">
        <f aca="false">IF($A284="","",IFERROR(VLOOKUP(AH284,Schichten!$A$5:$G$24,6,FALSE()),0))</f>
        <v>0</v>
      </c>
      <c r="AJ284" s="27" t="n">
        <f aca="false">IF($A284="","",IFERROR(VLOOKUP(AH284,Schichten!$A$5:$G$24,7,FALSE()),0))</f>
        <v>0</v>
      </c>
      <c r="AK284" s="28" t="str">
        <f aca="false">IF($A284="","",IF(N(AI284)=0,"",$A284+VLOOKUP(AH284,Schichten!$A$5:$G$24,3,FALSE())))</f>
        <v/>
      </c>
      <c r="AL284" s="28" t="str">
        <f aca="false">IF(AK284="","",$A284+VLOOKUP(AH284,Schichten!$A$5:$G$24,4,FALSE())+IF(VLOOKUP(AH284,Schichten!$A$5:$G$24,4,FALSE())&lt;=VLOOKUP(AH284,Schichten!$A$5:$G$24,3,FALSE()),1,0))</f>
        <v/>
      </c>
      <c r="AM284" s="28" t="n">
        <f aca="false">IF($A284="","",IF(N(AI283)&gt;0,AL283,AM283))</f>
        <v>46667.25</v>
      </c>
      <c r="AN284" s="27" t="str">
        <f aca="false">IF(OR(AK284="",AM284=""),"",(AK284-AM284)*24)</f>
        <v/>
      </c>
      <c r="AO284" s="21" t="n">
        <f aca="false">IF($A284="","",IF(N(AI284)&gt;0,N(AO283)+1,0))</f>
        <v>0</v>
      </c>
      <c r="AP284" s="21" t="n">
        <f aca="false">IF($A284="","",IF(N(AJ284)&gt;0,N(AP283)+1,0))</f>
        <v>0</v>
      </c>
      <c r="AQ284" s="21" t="str">
        <f aca="false">IF($A284="","",IF(WEEKDAY($A284,2)&lt;&gt;7,"",IF(AND(OR(AK284="",N(AK284)&gt;=$A284+16/24,N(AL284)&lt;=$A284+6/24),OR(AM284="",N(AM284)&lt;=$A284+6/24)),1,0)))</f>
        <v/>
      </c>
      <c r="AR284" s="26" t="str">
        <f aca="false">IF($A284="","",IF(INDEX(Muster!$C$10:$BF$10,1,MOD($A284-Einstellungen!$C$6,Einstellungen!$C$7)+1)="","-",INDEX(Muster!$C$10:$BF$10,1,MOD($A284-Einstellungen!$C$6,Einstellungen!$C$7)+1)))</f>
        <v>-</v>
      </c>
      <c r="AS284" s="27" t="n">
        <f aca="false">IF($A284="","",IFERROR(VLOOKUP(AR284,Schichten!$A$5:$G$24,6,FALSE()),0))</f>
        <v>0</v>
      </c>
      <c r="AT284" s="27" t="n">
        <f aca="false">IF($A284="","",IFERROR(VLOOKUP(AR284,Schichten!$A$5:$G$24,7,FALSE()),0))</f>
        <v>0</v>
      </c>
      <c r="AU284" s="28" t="str">
        <f aca="false">IF($A284="","",IF(N(AS284)=0,"",$A284+VLOOKUP(AR284,Schichten!$A$5:$G$24,3,FALSE())))</f>
        <v/>
      </c>
      <c r="AV284" s="28" t="str">
        <f aca="false">IF(AU284="","",$A284+VLOOKUP(AR284,Schichten!$A$5:$G$24,4,FALSE())+IF(VLOOKUP(AR284,Schichten!$A$5:$G$24,4,FALSE())&lt;=VLOOKUP(AR284,Schichten!$A$5:$G$24,3,FALSE()),1,0))</f>
        <v/>
      </c>
      <c r="AW284" s="28" t="str">
        <f aca="false">IF($A284="","",IF(N(AS283)&gt;0,AV283,AW283))</f>
        <v/>
      </c>
      <c r="AX284" s="27" t="str">
        <f aca="false">IF(OR(AU284="",AW284=""),"",(AU284-AW284)*24)</f>
        <v/>
      </c>
      <c r="AY284" s="21" t="n">
        <f aca="false">IF($A284="","",IF(N(AS284)&gt;0,N(AY283)+1,0))</f>
        <v>0</v>
      </c>
      <c r="AZ284" s="21" t="n">
        <f aca="false">IF($A284="","",IF(N(AT284)&gt;0,N(AZ283)+1,0))</f>
        <v>0</v>
      </c>
      <c r="BA284" s="21" t="str">
        <f aca="false">IF($A284="","",IF(WEEKDAY($A284,2)&lt;&gt;7,"",IF(AND(OR(AU284="",N(AU284)&gt;=$A284+16/24,N(AV284)&lt;=$A284+6/24),OR(AW284="",N(AW284)&lt;=$A284+6/24)),1,0)))</f>
        <v/>
      </c>
    </row>
    <row r="285" customFormat="false" ht="15" hidden="false" customHeight="false" outlineLevel="0" collapsed="false">
      <c r="A285" s="25" t="n">
        <f aca="false">IF(YEAR(DATE(Einstellungen!$C$4,1,1)+280)=Einstellungen!$C$4,DATE(Einstellungen!$C$4,1,1)+280,"")</f>
        <v>46668</v>
      </c>
      <c r="B285" s="26" t="str">
        <f aca="false">IF($A285="","",CHOOSE(WEEKDAY($A285,2),"Mo","Di","Mi","Do","Fr","Sa","So"))</f>
        <v>Fr</v>
      </c>
      <c r="C285" s="26" t="n">
        <f aca="false">IF($A285="","",MONTH($A285))</f>
        <v>10</v>
      </c>
      <c r="D285" s="26" t="str">
        <f aca="false">IF($A285="","",IF(INDEX(Muster!$C$6:$BF$6,1,MOD($A285-Einstellungen!$C$6,Einstellungen!$C$7)+1)="","-",INDEX(Muster!$C$6:$BF$6,1,MOD($A285-Einstellungen!$C$6,Einstellungen!$C$7)+1)))</f>
        <v>N</v>
      </c>
      <c r="E285" s="27" t="n">
        <f aca="false">IF($A285="","",IFERROR(VLOOKUP(D285,Schichten!$A$5:$G$24,6,FALSE()),0))</f>
        <v>8</v>
      </c>
      <c r="F285" s="27" t="n">
        <f aca="false">IF($A285="","",IFERROR(VLOOKUP(D285,Schichten!$A$5:$G$24,7,FALSE()),0))</f>
        <v>7</v>
      </c>
      <c r="G285" s="28" t="n">
        <f aca="false">IF($A285="","",IF(N(E285)=0,"",$A285+VLOOKUP(D285,Schichten!$A$5:$G$24,3,FALSE())))</f>
        <v>46668.9166666667</v>
      </c>
      <c r="H285" s="28" t="n">
        <f aca="false">IF(G285="","",$A285+VLOOKUP(D285,Schichten!$A$5:$G$24,4,FALSE())+IF(VLOOKUP(D285,Schichten!$A$5:$G$24,4,FALSE())&lt;=VLOOKUP(D285,Schichten!$A$5:$G$24,3,FALSE()),1,0))</f>
        <v>46669.25</v>
      </c>
      <c r="I285" s="28" t="n">
        <f aca="false">IF($A285="","",IF(N(E284)&gt;0,H284,I284))</f>
        <v>46668.25</v>
      </c>
      <c r="J285" s="27" t="n">
        <f aca="false">IF(OR(G285="",I285=""),"",(G285-I285)*24)</f>
        <v>16</v>
      </c>
      <c r="K285" s="21" t="n">
        <f aca="false">IF($A285="","",IF(N(E285)&gt;0,N(K284)+1,0))</f>
        <v>6</v>
      </c>
      <c r="L285" s="21" t="n">
        <f aca="false">IF($A285="","",IF(N(F285)&gt;0,N(L284)+1,0))</f>
        <v>2</v>
      </c>
      <c r="M285" s="21" t="str">
        <f aca="false">IF($A285="","",IF(WEEKDAY($A285,2)&lt;&gt;7,"",IF(AND(OR(G285="",N(G285)&gt;=$A285+16/24,N(H285)&lt;=$A285+6/24),OR(I285="",N(I285)&lt;=$A285+6/24)),1,0)))</f>
        <v/>
      </c>
      <c r="N285" s="26" t="str">
        <f aca="false">IF($A285="","",IF(INDEX(Muster!$C$7:$BF$7,1,MOD($A285-Einstellungen!$C$6,Einstellungen!$C$7)+1)="","-",INDEX(Muster!$C$7:$BF$7,1,MOD($A285-Einstellungen!$C$6,Einstellungen!$C$7)+1)))</f>
        <v>S</v>
      </c>
      <c r="O285" s="27" t="n">
        <f aca="false">IF($A285="","",IFERROR(VLOOKUP(N285,Schichten!$A$5:$G$24,6,FALSE()),0))</f>
        <v>8</v>
      </c>
      <c r="P285" s="27" t="n">
        <f aca="false">IF($A285="","",IFERROR(VLOOKUP(N285,Schichten!$A$5:$G$24,7,FALSE()),0))</f>
        <v>0</v>
      </c>
      <c r="Q285" s="28" t="n">
        <f aca="false">IF($A285="","",IF(N(O285)=0,"",$A285+VLOOKUP(N285,Schichten!$A$5:$G$24,3,FALSE())))</f>
        <v>46668.5833333333</v>
      </c>
      <c r="R285" s="28" t="n">
        <f aca="false">IF(Q285="","",$A285+VLOOKUP(N285,Schichten!$A$5:$G$24,4,FALSE())+IF(VLOOKUP(N285,Schichten!$A$5:$G$24,4,FALSE())&lt;=VLOOKUP(N285,Schichten!$A$5:$G$24,3,FALSE()),1,0))</f>
        <v>46668.9166666667</v>
      </c>
      <c r="S285" s="28" t="n">
        <f aca="false">IF($A285="","",IF(N(O284)&gt;0,R284,S284))</f>
        <v>46667.9166666667</v>
      </c>
      <c r="T285" s="27" t="n">
        <f aca="false">IF(OR(Q285="",S285=""),"",(Q285-S285)*24)</f>
        <v>16</v>
      </c>
      <c r="U285" s="21" t="n">
        <f aca="false">IF($A285="","",IF(N(O285)&gt;0,N(U284)+1,0))</f>
        <v>4</v>
      </c>
      <c r="V285" s="21" t="n">
        <f aca="false">IF($A285="","",IF(N(P285)&gt;0,N(V284)+1,0))</f>
        <v>0</v>
      </c>
      <c r="W285" s="21" t="str">
        <f aca="false">IF($A285="","",IF(WEEKDAY($A285,2)&lt;&gt;7,"",IF(AND(OR(Q285="",N(Q285)&gt;=$A285+16/24,N(R285)&lt;=$A285+6/24),OR(S285="",N(S285)&lt;=$A285+6/24)),1,0)))</f>
        <v/>
      </c>
      <c r="X285" s="26" t="str">
        <f aca="false">IF($A285="","",IF(INDEX(Muster!$C$8:$BF$8,1,MOD($A285-Einstellungen!$C$6,Einstellungen!$C$7)+1)="","-",INDEX(Muster!$C$8:$BF$8,1,MOD($A285-Einstellungen!$C$6,Einstellungen!$C$7)+1)))</f>
        <v>F</v>
      </c>
      <c r="Y285" s="27" t="n">
        <f aca="false">IF($A285="","",IFERROR(VLOOKUP(X285,Schichten!$A$5:$G$24,6,FALSE()),0))</f>
        <v>8</v>
      </c>
      <c r="Z285" s="27" t="n">
        <f aca="false">IF($A285="","",IFERROR(VLOOKUP(X285,Schichten!$A$5:$G$24,7,FALSE()),0))</f>
        <v>0</v>
      </c>
      <c r="AA285" s="28" t="n">
        <f aca="false">IF($A285="","",IF(N(Y285)=0,"",$A285+VLOOKUP(X285,Schichten!$A$5:$G$24,3,FALSE())))</f>
        <v>46668.25</v>
      </c>
      <c r="AB285" s="28" t="n">
        <f aca="false">IF(AA285="","",$A285+VLOOKUP(X285,Schichten!$A$5:$G$24,4,FALSE())+IF(VLOOKUP(X285,Schichten!$A$5:$G$24,4,FALSE())&lt;=VLOOKUP(X285,Schichten!$A$5:$G$24,3,FALSE()),1,0))</f>
        <v>46668.5833333333</v>
      </c>
      <c r="AC285" s="28" t="n">
        <f aca="false">IF($A285="","",IF(N(Y284)&gt;0,AB284,AC284))</f>
        <v>46667.5833333333</v>
      </c>
      <c r="AD285" s="27" t="n">
        <f aca="false">IF(OR(AA285="",AC285=""),"",(AA285-AC285)*24)</f>
        <v>16</v>
      </c>
      <c r="AE285" s="21" t="n">
        <f aca="false">IF($A285="","",IF(N(Y285)&gt;0,N(AE284)+1,0))</f>
        <v>2</v>
      </c>
      <c r="AF285" s="21" t="n">
        <f aca="false">IF($A285="","",IF(N(Z285)&gt;0,N(AF284)+1,0))</f>
        <v>0</v>
      </c>
      <c r="AG285" s="21" t="str">
        <f aca="false">IF($A285="","",IF(WEEKDAY($A285,2)&lt;&gt;7,"",IF(AND(OR(AA285="",N(AA285)&gt;=$A285+16/24,N(AB285)&lt;=$A285+6/24),OR(AC285="",N(AC285)&lt;=$A285+6/24)),1,0)))</f>
        <v/>
      </c>
      <c r="AH285" s="26" t="str">
        <f aca="false">IF($A285="","",IF(INDEX(Muster!$C$9:$BF$9,1,MOD($A285-Einstellungen!$C$6,Einstellungen!$C$7)+1)="","-",INDEX(Muster!$C$9:$BF$9,1,MOD($A285-Einstellungen!$C$6,Einstellungen!$C$7)+1)))</f>
        <v>-</v>
      </c>
      <c r="AI285" s="27" t="n">
        <f aca="false">IF($A285="","",IFERROR(VLOOKUP(AH285,Schichten!$A$5:$G$24,6,FALSE()),0))</f>
        <v>0</v>
      </c>
      <c r="AJ285" s="27" t="n">
        <f aca="false">IF($A285="","",IFERROR(VLOOKUP(AH285,Schichten!$A$5:$G$24,7,FALSE()),0))</f>
        <v>0</v>
      </c>
      <c r="AK285" s="28" t="str">
        <f aca="false">IF($A285="","",IF(N(AI285)=0,"",$A285+VLOOKUP(AH285,Schichten!$A$5:$G$24,3,FALSE())))</f>
        <v/>
      </c>
      <c r="AL285" s="28" t="str">
        <f aca="false">IF(AK285="","",$A285+VLOOKUP(AH285,Schichten!$A$5:$G$24,4,FALSE())+IF(VLOOKUP(AH285,Schichten!$A$5:$G$24,4,FALSE())&lt;=VLOOKUP(AH285,Schichten!$A$5:$G$24,3,FALSE()),1,0))</f>
        <v/>
      </c>
      <c r="AM285" s="28" t="n">
        <f aca="false">IF($A285="","",IF(N(AI284)&gt;0,AL284,AM284))</f>
        <v>46667.25</v>
      </c>
      <c r="AN285" s="27" t="str">
        <f aca="false">IF(OR(AK285="",AM285=""),"",(AK285-AM285)*24)</f>
        <v/>
      </c>
      <c r="AO285" s="21" t="n">
        <f aca="false">IF($A285="","",IF(N(AI285)&gt;0,N(AO284)+1,0))</f>
        <v>0</v>
      </c>
      <c r="AP285" s="21" t="n">
        <f aca="false">IF($A285="","",IF(N(AJ285)&gt;0,N(AP284)+1,0))</f>
        <v>0</v>
      </c>
      <c r="AQ285" s="21" t="str">
        <f aca="false">IF($A285="","",IF(WEEKDAY($A285,2)&lt;&gt;7,"",IF(AND(OR(AK285="",N(AK285)&gt;=$A285+16/24,N(AL285)&lt;=$A285+6/24),OR(AM285="",N(AM285)&lt;=$A285+6/24)),1,0)))</f>
        <v/>
      </c>
      <c r="AR285" s="26" t="str">
        <f aca="false">IF($A285="","",IF(INDEX(Muster!$C$10:$BF$10,1,MOD($A285-Einstellungen!$C$6,Einstellungen!$C$7)+1)="","-",INDEX(Muster!$C$10:$BF$10,1,MOD($A285-Einstellungen!$C$6,Einstellungen!$C$7)+1)))</f>
        <v>-</v>
      </c>
      <c r="AS285" s="27" t="n">
        <f aca="false">IF($A285="","",IFERROR(VLOOKUP(AR285,Schichten!$A$5:$G$24,6,FALSE()),0))</f>
        <v>0</v>
      </c>
      <c r="AT285" s="27" t="n">
        <f aca="false">IF($A285="","",IFERROR(VLOOKUP(AR285,Schichten!$A$5:$G$24,7,FALSE()),0))</f>
        <v>0</v>
      </c>
      <c r="AU285" s="28" t="str">
        <f aca="false">IF($A285="","",IF(N(AS285)=0,"",$A285+VLOOKUP(AR285,Schichten!$A$5:$G$24,3,FALSE())))</f>
        <v/>
      </c>
      <c r="AV285" s="28" t="str">
        <f aca="false">IF(AU285="","",$A285+VLOOKUP(AR285,Schichten!$A$5:$G$24,4,FALSE())+IF(VLOOKUP(AR285,Schichten!$A$5:$G$24,4,FALSE())&lt;=VLOOKUP(AR285,Schichten!$A$5:$G$24,3,FALSE()),1,0))</f>
        <v/>
      </c>
      <c r="AW285" s="28" t="str">
        <f aca="false">IF($A285="","",IF(N(AS284)&gt;0,AV284,AW284))</f>
        <v/>
      </c>
      <c r="AX285" s="27" t="str">
        <f aca="false">IF(OR(AU285="",AW285=""),"",(AU285-AW285)*24)</f>
        <v/>
      </c>
      <c r="AY285" s="21" t="n">
        <f aca="false">IF($A285="","",IF(N(AS285)&gt;0,N(AY284)+1,0))</f>
        <v>0</v>
      </c>
      <c r="AZ285" s="21" t="n">
        <f aca="false">IF($A285="","",IF(N(AT285)&gt;0,N(AZ284)+1,0))</f>
        <v>0</v>
      </c>
      <c r="BA285" s="21" t="str">
        <f aca="false">IF($A285="","",IF(WEEKDAY($A285,2)&lt;&gt;7,"",IF(AND(OR(AU285="",N(AU285)&gt;=$A285+16/24,N(AV285)&lt;=$A285+6/24),OR(AW285="",N(AW285)&lt;=$A285+6/24)),1,0)))</f>
        <v/>
      </c>
    </row>
    <row r="286" customFormat="false" ht="15" hidden="false" customHeight="false" outlineLevel="0" collapsed="false">
      <c r="A286" s="25" t="n">
        <f aca="false">IF(YEAR(DATE(Einstellungen!$C$4,1,1)+281)=Einstellungen!$C$4,DATE(Einstellungen!$C$4,1,1)+281,"")</f>
        <v>46669</v>
      </c>
      <c r="B286" s="26" t="str">
        <f aca="false">IF($A286="","",CHOOSE(WEEKDAY($A286,2),"Mo","Di","Mi","Do","Fr","Sa","So"))</f>
        <v>Sa</v>
      </c>
      <c r="C286" s="26" t="n">
        <f aca="false">IF($A286="","",MONTH($A286))</f>
        <v>10</v>
      </c>
      <c r="D286" s="26" t="str">
        <f aca="false">IF($A286="","",IF(INDEX(Muster!$C$6:$BF$6,1,MOD($A286-Einstellungen!$C$6,Einstellungen!$C$7)+1)="","-",INDEX(Muster!$C$6:$BF$6,1,MOD($A286-Einstellungen!$C$6,Einstellungen!$C$7)+1)))</f>
        <v>-</v>
      </c>
      <c r="E286" s="27" t="n">
        <f aca="false">IF($A286="","",IFERROR(VLOOKUP(D286,Schichten!$A$5:$G$24,6,FALSE()),0))</f>
        <v>0</v>
      </c>
      <c r="F286" s="27" t="n">
        <f aca="false">IF($A286="","",IFERROR(VLOOKUP(D286,Schichten!$A$5:$G$24,7,FALSE()),0))</f>
        <v>0</v>
      </c>
      <c r="G286" s="28" t="str">
        <f aca="false">IF($A286="","",IF(N(E286)=0,"",$A286+VLOOKUP(D286,Schichten!$A$5:$G$24,3,FALSE())))</f>
        <v/>
      </c>
      <c r="H286" s="28" t="str">
        <f aca="false">IF(G286="","",$A286+VLOOKUP(D286,Schichten!$A$5:$G$24,4,FALSE())+IF(VLOOKUP(D286,Schichten!$A$5:$G$24,4,FALSE())&lt;=VLOOKUP(D286,Schichten!$A$5:$G$24,3,FALSE()),1,0))</f>
        <v/>
      </c>
      <c r="I286" s="28" t="n">
        <f aca="false">IF($A286="","",IF(N(E285)&gt;0,H285,I285))</f>
        <v>46669.25</v>
      </c>
      <c r="J286" s="27" t="str">
        <f aca="false">IF(OR(G286="",I286=""),"",(G286-I286)*24)</f>
        <v/>
      </c>
      <c r="K286" s="21" t="n">
        <f aca="false">IF($A286="","",IF(N(E286)&gt;0,N(K285)+1,0))</f>
        <v>0</v>
      </c>
      <c r="L286" s="21" t="n">
        <f aca="false">IF($A286="","",IF(N(F286)&gt;0,N(L285)+1,0))</f>
        <v>0</v>
      </c>
      <c r="M286" s="21" t="str">
        <f aca="false">IF($A286="","",IF(WEEKDAY($A286,2)&lt;&gt;7,"",IF(AND(OR(G286="",N(G286)&gt;=$A286+16/24,N(H286)&lt;=$A286+6/24),OR(I286="",N(I286)&lt;=$A286+6/24)),1,0)))</f>
        <v/>
      </c>
      <c r="N286" s="26" t="str">
        <f aca="false">IF($A286="","",IF(INDEX(Muster!$C$7:$BF$7,1,MOD($A286-Einstellungen!$C$6,Einstellungen!$C$7)+1)="","-",INDEX(Muster!$C$7:$BF$7,1,MOD($A286-Einstellungen!$C$6,Einstellungen!$C$7)+1)))</f>
        <v>N</v>
      </c>
      <c r="O286" s="27" t="n">
        <f aca="false">IF($A286="","",IFERROR(VLOOKUP(N286,Schichten!$A$5:$G$24,6,FALSE()),0))</f>
        <v>8</v>
      </c>
      <c r="P286" s="27" t="n">
        <f aca="false">IF($A286="","",IFERROR(VLOOKUP(N286,Schichten!$A$5:$G$24,7,FALSE()),0))</f>
        <v>7</v>
      </c>
      <c r="Q286" s="28" t="n">
        <f aca="false">IF($A286="","",IF(N(O286)=0,"",$A286+VLOOKUP(N286,Schichten!$A$5:$G$24,3,FALSE())))</f>
        <v>46669.9166666667</v>
      </c>
      <c r="R286" s="28" t="n">
        <f aca="false">IF(Q286="","",$A286+VLOOKUP(N286,Schichten!$A$5:$G$24,4,FALSE())+IF(VLOOKUP(N286,Schichten!$A$5:$G$24,4,FALSE())&lt;=VLOOKUP(N286,Schichten!$A$5:$G$24,3,FALSE()),1,0))</f>
        <v>46670.25</v>
      </c>
      <c r="S286" s="28" t="n">
        <f aca="false">IF($A286="","",IF(N(O285)&gt;0,R285,S285))</f>
        <v>46668.9166666667</v>
      </c>
      <c r="T286" s="27" t="n">
        <f aca="false">IF(OR(Q286="",S286=""),"",(Q286-S286)*24)</f>
        <v>24</v>
      </c>
      <c r="U286" s="21" t="n">
        <f aca="false">IF($A286="","",IF(N(O286)&gt;0,N(U285)+1,0))</f>
        <v>5</v>
      </c>
      <c r="V286" s="21" t="n">
        <f aca="false">IF($A286="","",IF(N(P286)&gt;0,N(V285)+1,0))</f>
        <v>1</v>
      </c>
      <c r="W286" s="21" t="str">
        <f aca="false">IF($A286="","",IF(WEEKDAY($A286,2)&lt;&gt;7,"",IF(AND(OR(Q286="",N(Q286)&gt;=$A286+16/24,N(R286)&lt;=$A286+6/24),OR(S286="",N(S286)&lt;=$A286+6/24)),1,0)))</f>
        <v/>
      </c>
      <c r="X286" s="26" t="str">
        <f aca="false">IF($A286="","",IF(INDEX(Muster!$C$8:$BF$8,1,MOD($A286-Einstellungen!$C$6,Einstellungen!$C$7)+1)="","-",INDEX(Muster!$C$8:$BF$8,1,MOD($A286-Einstellungen!$C$6,Einstellungen!$C$7)+1)))</f>
        <v>S</v>
      </c>
      <c r="Y286" s="27" t="n">
        <f aca="false">IF($A286="","",IFERROR(VLOOKUP(X286,Schichten!$A$5:$G$24,6,FALSE()),0))</f>
        <v>8</v>
      </c>
      <c r="Z286" s="27" t="n">
        <f aca="false">IF($A286="","",IFERROR(VLOOKUP(X286,Schichten!$A$5:$G$24,7,FALSE()),0))</f>
        <v>0</v>
      </c>
      <c r="AA286" s="28" t="n">
        <f aca="false">IF($A286="","",IF(N(Y286)=0,"",$A286+VLOOKUP(X286,Schichten!$A$5:$G$24,3,FALSE())))</f>
        <v>46669.5833333333</v>
      </c>
      <c r="AB286" s="28" t="n">
        <f aca="false">IF(AA286="","",$A286+VLOOKUP(X286,Schichten!$A$5:$G$24,4,FALSE())+IF(VLOOKUP(X286,Schichten!$A$5:$G$24,4,FALSE())&lt;=VLOOKUP(X286,Schichten!$A$5:$G$24,3,FALSE()),1,0))</f>
        <v>46669.9166666667</v>
      </c>
      <c r="AC286" s="28" t="n">
        <f aca="false">IF($A286="","",IF(N(Y285)&gt;0,AB285,AC285))</f>
        <v>46668.5833333333</v>
      </c>
      <c r="AD286" s="27" t="n">
        <f aca="false">IF(OR(AA286="",AC286=""),"",(AA286-AC286)*24)</f>
        <v>24</v>
      </c>
      <c r="AE286" s="21" t="n">
        <f aca="false">IF($A286="","",IF(N(Y286)&gt;0,N(AE285)+1,0))</f>
        <v>3</v>
      </c>
      <c r="AF286" s="21" t="n">
        <f aca="false">IF($A286="","",IF(N(Z286)&gt;0,N(AF285)+1,0))</f>
        <v>0</v>
      </c>
      <c r="AG286" s="21" t="str">
        <f aca="false">IF($A286="","",IF(WEEKDAY($A286,2)&lt;&gt;7,"",IF(AND(OR(AA286="",N(AA286)&gt;=$A286+16/24,N(AB286)&lt;=$A286+6/24),OR(AC286="",N(AC286)&lt;=$A286+6/24)),1,0)))</f>
        <v/>
      </c>
      <c r="AH286" s="26" t="str">
        <f aca="false">IF($A286="","",IF(INDEX(Muster!$C$9:$BF$9,1,MOD($A286-Einstellungen!$C$6,Einstellungen!$C$7)+1)="","-",INDEX(Muster!$C$9:$BF$9,1,MOD($A286-Einstellungen!$C$6,Einstellungen!$C$7)+1)))</f>
        <v>F</v>
      </c>
      <c r="AI286" s="27" t="n">
        <f aca="false">IF($A286="","",IFERROR(VLOOKUP(AH286,Schichten!$A$5:$G$24,6,FALSE()),0))</f>
        <v>8</v>
      </c>
      <c r="AJ286" s="27" t="n">
        <f aca="false">IF($A286="","",IFERROR(VLOOKUP(AH286,Schichten!$A$5:$G$24,7,FALSE()),0))</f>
        <v>0</v>
      </c>
      <c r="AK286" s="28" t="n">
        <f aca="false">IF($A286="","",IF(N(AI286)=0,"",$A286+VLOOKUP(AH286,Schichten!$A$5:$G$24,3,FALSE())))</f>
        <v>46669.25</v>
      </c>
      <c r="AL286" s="28" t="n">
        <f aca="false">IF(AK286="","",$A286+VLOOKUP(AH286,Schichten!$A$5:$G$24,4,FALSE())+IF(VLOOKUP(AH286,Schichten!$A$5:$G$24,4,FALSE())&lt;=VLOOKUP(AH286,Schichten!$A$5:$G$24,3,FALSE()),1,0))</f>
        <v>46669.5833333333</v>
      </c>
      <c r="AM286" s="28" t="n">
        <f aca="false">IF($A286="","",IF(N(AI285)&gt;0,AL285,AM285))</f>
        <v>46667.25</v>
      </c>
      <c r="AN286" s="27" t="n">
        <f aca="false">IF(OR(AK286="",AM286=""),"",(AK286-AM286)*24)</f>
        <v>48</v>
      </c>
      <c r="AO286" s="21" t="n">
        <f aca="false">IF($A286="","",IF(N(AI286)&gt;0,N(AO285)+1,0))</f>
        <v>1</v>
      </c>
      <c r="AP286" s="21" t="n">
        <f aca="false">IF($A286="","",IF(N(AJ286)&gt;0,N(AP285)+1,0))</f>
        <v>0</v>
      </c>
      <c r="AQ286" s="21" t="str">
        <f aca="false">IF($A286="","",IF(WEEKDAY($A286,2)&lt;&gt;7,"",IF(AND(OR(AK286="",N(AK286)&gt;=$A286+16/24,N(AL286)&lt;=$A286+6/24),OR(AM286="",N(AM286)&lt;=$A286+6/24)),1,0)))</f>
        <v/>
      </c>
      <c r="AR286" s="26" t="str">
        <f aca="false">IF($A286="","",IF(INDEX(Muster!$C$10:$BF$10,1,MOD($A286-Einstellungen!$C$6,Einstellungen!$C$7)+1)="","-",INDEX(Muster!$C$10:$BF$10,1,MOD($A286-Einstellungen!$C$6,Einstellungen!$C$7)+1)))</f>
        <v>-</v>
      </c>
      <c r="AS286" s="27" t="n">
        <f aca="false">IF($A286="","",IFERROR(VLOOKUP(AR286,Schichten!$A$5:$G$24,6,FALSE()),0))</f>
        <v>0</v>
      </c>
      <c r="AT286" s="27" t="n">
        <f aca="false">IF($A286="","",IFERROR(VLOOKUP(AR286,Schichten!$A$5:$G$24,7,FALSE()),0))</f>
        <v>0</v>
      </c>
      <c r="AU286" s="28" t="str">
        <f aca="false">IF($A286="","",IF(N(AS286)=0,"",$A286+VLOOKUP(AR286,Schichten!$A$5:$G$24,3,FALSE())))</f>
        <v/>
      </c>
      <c r="AV286" s="28" t="str">
        <f aca="false">IF(AU286="","",$A286+VLOOKUP(AR286,Schichten!$A$5:$G$24,4,FALSE())+IF(VLOOKUP(AR286,Schichten!$A$5:$G$24,4,FALSE())&lt;=VLOOKUP(AR286,Schichten!$A$5:$G$24,3,FALSE()),1,0))</f>
        <v/>
      </c>
      <c r="AW286" s="28" t="str">
        <f aca="false">IF($A286="","",IF(N(AS285)&gt;0,AV285,AW285))</f>
        <v/>
      </c>
      <c r="AX286" s="27" t="str">
        <f aca="false">IF(OR(AU286="",AW286=""),"",(AU286-AW286)*24)</f>
        <v/>
      </c>
      <c r="AY286" s="21" t="n">
        <f aca="false">IF($A286="","",IF(N(AS286)&gt;0,N(AY285)+1,0))</f>
        <v>0</v>
      </c>
      <c r="AZ286" s="21" t="n">
        <f aca="false">IF($A286="","",IF(N(AT286)&gt;0,N(AZ285)+1,0))</f>
        <v>0</v>
      </c>
      <c r="BA286" s="21" t="str">
        <f aca="false">IF($A286="","",IF(WEEKDAY($A286,2)&lt;&gt;7,"",IF(AND(OR(AU286="",N(AU286)&gt;=$A286+16/24,N(AV286)&lt;=$A286+6/24),OR(AW286="",N(AW286)&lt;=$A286+6/24)),1,0)))</f>
        <v/>
      </c>
    </row>
    <row r="287" customFormat="false" ht="15" hidden="false" customHeight="false" outlineLevel="0" collapsed="false">
      <c r="A287" s="25" t="n">
        <f aca="false">IF(YEAR(DATE(Einstellungen!$C$4,1,1)+282)=Einstellungen!$C$4,DATE(Einstellungen!$C$4,1,1)+282,"")</f>
        <v>46670</v>
      </c>
      <c r="B287" s="26" t="str">
        <f aca="false">IF($A287="","",CHOOSE(WEEKDAY($A287,2),"Mo","Di","Mi","Do","Fr","Sa","So"))</f>
        <v>So</v>
      </c>
      <c r="C287" s="26" t="n">
        <f aca="false">IF($A287="","",MONTH($A287))</f>
        <v>10</v>
      </c>
      <c r="D287" s="26" t="str">
        <f aca="false">IF($A287="","",IF(INDEX(Muster!$C$6:$BF$6,1,MOD($A287-Einstellungen!$C$6,Einstellungen!$C$7)+1)="","-",INDEX(Muster!$C$6:$BF$6,1,MOD($A287-Einstellungen!$C$6,Einstellungen!$C$7)+1)))</f>
        <v>-</v>
      </c>
      <c r="E287" s="27" t="n">
        <f aca="false">IF($A287="","",IFERROR(VLOOKUP(D287,Schichten!$A$5:$G$24,6,FALSE()),0))</f>
        <v>0</v>
      </c>
      <c r="F287" s="27" t="n">
        <f aca="false">IF($A287="","",IFERROR(VLOOKUP(D287,Schichten!$A$5:$G$24,7,FALSE()),0))</f>
        <v>0</v>
      </c>
      <c r="G287" s="28" t="str">
        <f aca="false">IF($A287="","",IF(N(E287)=0,"",$A287+VLOOKUP(D287,Schichten!$A$5:$G$24,3,FALSE())))</f>
        <v/>
      </c>
      <c r="H287" s="28" t="str">
        <f aca="false">IF(G287="","",$A287+VLOOKUP(D287,Schichten!$A$5:$G$24,4,FALSE())+IF(VLOOKUP(D287,Schichten!$A$5:$G$24,4,FALSE())&lt;=VLOOKUP(D287,Schichten!$A$5:$G$24,3,FALSE()),1,0))</f>
        <v/>
      </c>
      <c r="I287" s="28" t="n">
        <f aca="false">IF($A287="","",IF(N(E286)&gt;0,H286,I286))</f>
        <v>46669.25</v>
      </c>
      <c r="J287" s="27" t="str">
        <f aca="false">IF(OR(G287="",I287=""),"",(G287-I287)*24)</f>
        <v/>
      </c>
      <c r="K287" s="21" t="n">
        <f aca="false">IF($A287="","",IF(N(E287)&gt;0,N(K286)+1,0))</f>
        <v>0</v>
      </c>
      <c r="L287" s="21" t="n">
        <f aca="false">IF($A287="","",IF(N(F287)&gt;0,N(L286)+1,0))</f>
        <v>0</v>
      </c>
      <c r="M287" s="21" t="n">
        <f aca="false">IF($A287="","",IF(WEEKDAY($A287,2)&lt;&gt;7,"",IF(AND(OR(G287="",N(G287)&gt;=$A287+16/24,N(H287)&lt;=$A287+6/24),OR(I287="",N(I287)&lt;=$A287+6/24)),1,0)))</f>
        <v>1</v>
      </c>
      <c r="N287" s="26" t="str">
        <f aca="false">IF($A287="","",IF(INDEX(Muster!$C$7:$BF$7,1,MOD($A287-Einstellungen!$C$6,Einstellungen!$C$7)+1)="","-",INDEX(Muster!$C$7:$BF$7,1,MOD($A287-Einstellungen!$C$6,Einstellungen!$C$7)+1)))</f>
        <v>N</v>
      </c>
      <c r="O287" s="27" t="n">
        <f aca="false">IF($A287="","",IFERROR(VLOOKUP(N287,Schichten!$A$5:$G$24,6,FALSE()),0))</f>
        <v>8</v>
      </c>
      <c r="P287" s="27" t="n">
        <f aca="false">IF($A287="","",IFERROR(VLOOKUP(N287,Schichten!$A$5:$G$24,7,FALSE()),0))</f>
        <v>7</v>
      </c>
      <c r="Q287" s="28" t="n">
        <f aca="false">IF($A287="","",IF(N(O287)=0,"",$A287+VLOOKUP(N287,Schichten!$A$5:$G$24,3,FALSE())))</f>
        <v>46670.9166666667</v>
      </c>
      <c r="R287" s="28" t="n">
        <f aca="false">IF(Q287="","",$A287+VLOOKUP(N287,Schichten!$A$5:$G$24,4,FALSE())+IF(VLOOKUP(N287,Schichten!$A$5:$G$24,4,FALSE())&lt;=VLOOKUP(N287,Schichten!$A$5:$G$24,3,FALSE()),1,0))</f>
        <v>46671.25</v>
      </c>
      <c r="S287" s="28" t="n">
        <f aca="false">IF($A287="","",IF(N(O286)&gt;0,R286,S286))</f>
        <v>46670.25</v>
      </c>
      <c r="T287" s="27" t="n">
        <f aca="false">IF(OR(Q287="",S287=""),"",(Q287-S287)*24)</f>
        <v>16</v>
      </c>
      <c r="U287" s="21" t="n">
        <f aca="false">IF($A287="","",IF(N(O287)&gt;0,N(U286)+1,0))</f>
        <v>6</v>
      </c>
      <c r="V287" s="21" t="n">
        <f aca="false">IF($A287="","",IF(N(P287)&gt;0,N(V286)+1,0))</f>
        <v>2</v>
      </c>
      <c r="W287" s="21" t="n">
        <f aca="false">IF($A287="","",IF(WEEKDAY($A287,2)&lt;&gt;7,"",IF(AND(OR(Q287="",N(Q287)&gt;=$A287+16/24,N(R287)&lt;=$A287+6/24),OR(S287="",N(S287)&lt;=$A287+6/24)),1,0)))</f>
        <v>1</v>
      </c>
      <c r="X287" s="26" t="str">
        <f aca="false">IF($A287="","",IF(INDEX(Muster!$C$8:$BF$8,1,MOD($A287-Einstellungen!$C$6,Einstellungen!$C$7)+1)="","-",INDEX(Muster!$C$8:$BF$8,1,MOD($A287-Einstellungen!$C$6,Einstellungen!$C$7)+1)))</f>
        <v>S</v>
      </c>
      <c r="Y287" s="27" t="n">
        <f aca="false">IF($A287="","",IFERROR(VLOOKUP(X287,Schichten!$A$5:$G$24,6,FALSE()),0))</f>
        <v>8</v>
      </c>
      <c r="Z287" s="27" t="n">
        <f aca="false">IF($A287="","",IFERROR(VLOOKUP(X287,Schichten!$A$5:$G$24,7,FALSE()),0))</f>
        <v>0</v>
      </c>
      <c r="AA287" s="28" t="n">
        <f aca="false">IF($A287="","",IF(N(Y287)=0,"",$A287+VLOOKUP(X287,Schichten!$A$5:$G$24,3,FALSE())))</f>
        <v>46670.5833333333</v>
      </c>
      <c r="AB287" s="28" t="n">
        <f aca="false">IF(AA287="","",$A287+VLOOKUP(X287,Schichten!$A$5:$G$24,4,FALSE())+IF(VLOOKUP(X287,Schichten!$A$5:$G$24,4,FALSE())&lt;=VLOOKUP(X287,Schichten!$A$5:$G$24,3,FALSE()),1,0))</f>
        <v>46670.9166666667</v>
      </c>
      <c r="AC287" s="28" t="n">
        <f aca="false">IF($A287="","",IF(N(Y286)&gt;0,AB286,AC286))</f>
        <v>46669.9166666667</v>
      </c>
      <c r="AD287" s="27" t="n">
        <f aca="false">IF(OR(AA287="",AC287=""),"",(AA287-AC287)*24)</f>
        <v>16</v>
      </c>
      <c r="AE287" s="21" t="n">
        <f aca="false">IF($A287="","",IF(N(Y287)&gt;0,N(AE286)+1,0))</f>
        <v>4</v>
      </c>
      <c r="AF287" s="21" t="n">
        <f aca="false">IF($A287="","",IF(N(Z287)&gt;0,N(AF286)+1,0))</f>
        <v>0</v>
      </c>
      <c r="AG287" s="21" t="n">
        <f aca="false">IF($A287="","",IF(WEEKDAY($A287,2)&lt;&gt;7,"",IF(AND(OR(AA287="",N(AA287)&gt;=$A287+16/24,N(AB287)&lt;=$A287+6/24),OR(AC287="",N(AC287)&lt;=$A287+6/24)),1,0)))</f>
        <v>0</v>
      </c>
      <c r="AH287" s="26" t="str">
        <f aca="false">IF($A287="","",IF(INDEX(Muster!$C$9:$BF$9,1,MOD($A287-Einstellungen!$C$6,Einstellungen!$C$7)+1)="","-",INDEX(Muster!$C$9:$BF$9,1,MOD($A287-Einstellungen!$C$6,Einstellungen!$C$7)+1)))</f>
        <v>F</v>
      </c>
      <c r="AI287" s="27" t="n">
        <f aca="false">IF($A287="","",IFERROR(VLOOKUP(AH287,Schichten!$A$5:$G$24,6,FALSE()),0))</f>
        <v>8</v>
      </c>
      <c r="AJ287" s="27" t="n">
        <f aca="false">IF($A287="","",IFERROR(VLOOKUP(AH287,Schichten!$A$5:$G$24,7,FALSE()),0))</f>
        <v>0</v>
      </c>
      <c r="AK287" s="28" t="n">
        <f aca="false">IF($A287="","",IF(N(AI287)=0,"",$A287+VLOOKUP(AH287,Schichten!$A$5:$G$24,3,FALSE())))</f>
        <v>46670.25</v>
      </c>
      <c r="AL287" s="28" t="n">
        <f aca="false">IF(AK287="","",$A287+VLOOKUP(AH287,Schichten!$A$5:$G$24,4,FALSE())+IF(VLOOKUP(AH287,Schichten!$A$5:$G$24,4,FALSE())&lt;=VLOOKUP(AH287,Schichten!$A$5:$G$24,3,FALSE()),1,0))</f>
        <v>46670.5833333333</v>
      </c>
      <c r="AM287" s="28" t="n">
        <f aca="false">IF($A287="","",IF(N(AI286)&gt;0,AL286,AM286))</f>
        <v>46669.5833333333</v>
      </c>
      <c r="AN287" s="27" t="n">
        <f aca="false">IF(OR(AK287="",AM287=""),"",(AK287-AM287)*24)</f>
        <v>16</v>
      </c>
      <c r="AO287" s="21" t="n">
        <f aca="false">IF($A287="","",IF(N(AI287)&gt;0,N(AO286)+1,0))</f>
        <v>2</v>
      </c>
      <c r="AP287" s="21" t="n">
        <f aca="false">IF($A287="","",IF(N(AJ287)&gt;0,N(AP286)+1,0))</f>
        <v>0</v>
      </c>
      <c r="AQ287" s="21" t="n">
        <f aca="false">IF($A287="","",IF(WEEKDAY($A287,2)&lt;&gt;7,"",IF(AND(OR(AK287="",N(AK287)&gt;=$A287+16/24,N(AL287)&lt;=$A287+6/24),OR(AM287="",N(AM287)&lt;=$A287+6/24)),1,0)))</f>
        <v>0</v>
      </c>
      <c r="AR287" s="26" t="str">
        <f aca="false">IF($A287="","",IF(INDEX(Muster!$C$10:$BF$10,1,MOD($A287-Einstellungen!$C$6,Einstellungen!$C$7)+1)="","-",INDEX(Muster!$C$10:$BF$10,1,MOD($A287-Einstellungen!$C$6,Einstellungen!$C$7)+1)))</f>
        <v>-</v>
      </c>
      <c r="AS287" s="27" t="n">
        <f aca="false">IF($A287="","",IFERROR(VLOOKUP(AR287,Schichten!$A$5:$G$24,6,FALSE()),0))</f>
        <v>0</v>
      </c>
      <c r="AT287" s="27" t="n">
        <f aca="false">IF($A287="","",IFERROR(VLOOKUP(AR287,Schichten!$A$5:$G$24,7,FALSE()),0))</f>
        <v>0</v>
      </c>
      <c r="AU287" s="28" t="str">
        <f aca="false">IF($A287="","",IF(N(AS287)=0,"",$A287+VLOOKUP(AR287,Schichten!$A$5:$G$24,3,FALSE())))</f>
        <v/>
      </c>
      <c r="AV287" s="28" t="str">
        <f aca="false">IF(AU287="","",$A287+VLOOKUP(AR287,Schichten!$A$5:$G$24,4,FALSE())+IF(VLOOKUP(AR287,Schichten!$A$5:$G$24,4,FALSE())&lt;=VLOOKUP(AR287,Schichten!$A$5:$G$24,3,FALSE()),1,0))</f>
        <v/>
      </c>
      <c r="AW287" s="28" t="str">
        <f aca="false">IF($A287="","",IF(N(AS286)&gt;0,AV286,AW286))</f>
        <v/>
      </c>
      <c r="AX287" s="27" t="str">
        <f aca="false">IF(OR(AU287="",AW287=""),"",(AU287-AW287)*24)</f>
        <v/>
      </c>
      <c r="AY287" s="21" t="n">
        <f aca="false">IF($A287="","",IF(N(AS287)&gt;0,N(AY286)+1,0))</f>
        <v>0</v>
      </c>
      <c r="AZ287" s="21" t="n">
        <f aca="false">IF($A287="","",IF(N(AT287)&gt;0,N(AZ286)+1,0))</f>
        <v>0</v>
      </c>
      <c r="BA287" s="21" t="n">
        <f aca="false">IF($A287="","",IF(WEEKDAY($A287,2)&lt;&gt;7,"",IF(AND(OR(AU287="",N(AU287)&gt;=$A287+16/24,N(AV287)&lt;=$A287+6/24),OR(AW287="",N(AW287)&lt;=$A287+6/24)),1,0)))</f>
        <v>1</v>
      </c>
    </row>
    <row r="288" customFormat="false" ht="15" hidden="false" customHeight="false" outlineLevel="0" collapsed="false">
      <c r="A288" s="25" t="n">
        <f aca="false">IF(YEAR(DATE(Einstellungen!$C$4,1,1)+283)=Einstellungen!$C$4,DATE(Einstellungen!$C$4,1,1)+283,"")</f>
        <v>46671</v>
      </c>
      <c r="B288" s="26" t="str">
        <f aca="false">IF($A288="","",CHOOSE(WEEKDAY($A288,2),"Mo","Di","Mi","Do","Fr","Sa","So"))</f>
        <v>Mo</v>
      </c>
      <c r="C288" s="26" t="n">
        <f aca="false">IF($A288="","",MONTH($A288))</f>
        <v>10</v>
      </c>
      <c r="D288" s="26" t="str">
        <f aca="false">IF($A288="","",IF(INDEX(Muster!$C$6:$BF$6,1,MOD($A288-Einstellungen!$C$6,Einstellungen!$C$7)+1)="","-",INDEX(Muster!$C$6:$BF$6,1,MOD($A288-Einstellungen!$C$6,Einstellungen!$C$7)+1)))</f>
        <v>F</v>
      </c>
      <c r="E288" s="27" t="n">
        <f aca="false">IF($A288="","",IFERROR(VLOOKUP(D288,Schichten!$A$5:$G$24,6,FALSE()),0))</f>
        <v>8</v>
      </c>
      <c r="F288" s="27" t="n">
        <f aca="false">IF($A288="","",IFERROR(VLOOKUP(D288,Schichten!$A$5:$G$24,7,FALSE()),0))</f>
        <v>0</v>
      </c>
      <c r="G288" s="28" t="n">
        <f aca="false">IF($A288="","",IF(N(E288)=0,"",$A288+VLOOKUP(D288,Schichten!$A$5:$G$24,3,FALSE())))</f>
        <v>46671.25</v>
      </c>
      <c r="H288" s="28" t="n">
        <f aca="false">IF(G288="","",$A288+VLOOKUP(D288,Schichten!$A$5:$G$24,4,FALSE())+IF(VLOOKUP(D288,Schichten!$A$5:$G$24,4,FALSE())&lt;=VLOOKUP(D288,Schichten!$A$5:$G$24,3,FALSE()),1,0))</f>
        <v>46671.5833333333</v>
      </c>
      <c r="I288" s="28" t="n">
        <f aca="false">IF($A288="","",IF(N(E287)&gt;0,H287,I287))</f>
        <v>46669.25</v>
      </c>
      <c r="J288" s="27" t="n">
        <f aca="false">IF(OR(G288="",I288=""),"",(G288-I288)*24)</f>
        <v>48</v>
      </c>
      <c r="K288" s="21" t="n">
        <f aca="false">IF($A288="","",IF(N(E288)&gt;0,N(K287)+1,0))</f>
        <v>1</v>
      </c>
      <c r="L288" s="21" t="n">
        <f aca="false">IF($A288="","",IF(N(F288)&gt;0,N(L287)+1,0))</f>
        <v>0</v>
      </c>
      <c r="M288" s="21" t="str">
        <f aca="false">IF($A288="","",IF(WEEKDAY($A288,2)&lt;&gt;7,"",IF(AND(OR(G288="",N(G288)&gt;=$A288+16/24,N(H288)&lt;=$A288+6/24),OR(I288="",N(I288)&lt;=$A288+6/24)),1,0)))</f>
        <v/>
      </c>
      <c r="N288" s="26" t="str">
        <f aca="false">IF($A288="","",IF(INDEX(Muster!$C$7:$BF$7,1,MOD($A288-Einstellungen!$C$6,Einstellungen!$C$7)+1)="","-",INDEX(Muster!$C$7:$BF$7,1,MOD($A288-Einstellungen!$C$6,Einstellungen!$C$7)+1)))</f>
        <v>-</v>
      </c>
      <c r="O288" s="27" t="n">
        <f aca="false">IF($A288="","",IFERROR(VLOOKUP(N288,Schichten!$A$5:$G$24,6,FALSE()),0))</f>
        <v>0</v>
      </c>
      <c r="P288" s="27" t="n">
        <f aca="false">IF($A288="","",IFERROR(VLOOKUP(N288,Schichten!$A$5:$G$24,7,FALSE()),0))</f>
        <v>0</v>
      </c>
      <c r="Q288" s="28" t="str">
        <f aca="false">IF($A288="","",IF(N(O288)=0,"",$A288+VLOOKUP(N288,Schichten!$A$5:$G$24,3,FALSE())))</f>
        <v/>
      </c>
      <c r="R288" s="28" t="str">
        <f aca="false">IF(Q288="","",$A288+VLOOKUP(N288,Schichten!$A$5:$G$24,4,FALSE())+IF(VLOOKUP(N288,Schichten!$A$5:$G$24,4,FALSE())&lt;=VLOOKUP(N288,Schichten!$A$5:$G$24,3,FALSE()),1,0))</f>
        <v/>
      </c>
      <c r="S288" s="28" t="n">
        <f aca="false">IF($A288="","",IF(N(O287)&gt;0,R287,S287))</f>
        <v>46671.25</v>
      </c>
      <c r="T288" s="27" t="str">
        <f aca="false">IF(OR(Q288="",S288=""),"",(Q288-S288)*24)</f>
        <v/>
      </c>
      <c r="U288" s="21" t="n">
        <f aca="false">IF($A288="","",IF(N(O288)&gt;0,N(U287)+1,0))</f>
        <v>0</v>
      </c>
      <c r="V288" s="21" t="n">
        <f aca="false">IF($A288="","",IF(N(P288)&gt;0,N(V287)+1,0))</f>
        <v>0</v>
      </c>
      <c r="W288" s="21" t="str">
        <f aca="false">IF($A288="","",IF(WEEKDAY($A288,2)&lt;&gt;7,"",IF(AND(OR(Q288="",N(Q288)&gt;=$A288+16/24,N(R288)&lt;=$A288+6/24),OR(S288="",N(S288)&lt;=$A288+6/24)),1,0)))</f>
        <v/>
      </c>
      <c r="X288" s="26" t="str">
        <f aca="false">IF($A288="","",IF(INDEX(Muster!$C$8:$BF$8,1,MOD($A288-Einstellungen!$C$6,Einstellungen!$C$7)+1)="","-",INDEX(Muster!$C$8:$BF$8,1,MOD($A288-Einstellungen!$C$6,Einstellungen!$C$7)+1)))</f>
        <v>N</v>
      </c>
      <c r="Y288" s="27" t="n">
        <f aca="false">IF($A288="","",IFERROR(VLOOKUP(X288,Schichten!$A$5:$G$24,6,FALSE()),0))</f>
        <v>8</v>
      </c>
      <c r="Z288" s="27" t="n">
        <f aca="false">IF($A288="","",IFERROR(VLOOKUP(X288,Schichten!$A$5:$G$24,7,FALSE()),0))</f>
        <v>7</v>
      </c>
      <c r="AA288" s="28" t="n">
        <f aca="false">IF($A288="","",IF(N(Y288)=0,"",$A288+VLOOKUP(X288,Schichten!$A$5:$G$24,3,FALSE())))</f>
        <v>46671.9166666667</v>
      </c>
      <c r="AB288" s="28" t="n">
        <f aca="false">IF(AA288="","",$A288+VLOOKUP(X288,Schichten!$A$5:$G$24,4,FALSE())+IF(VLOOKUP(X288,Schichten!$A$5:$G$24,4,FALSE())&lt;=VLOOKUP(X288,Schichten!$A$5:$G$24,3,FALSE()),1,0))</f>
        <v>46672.25</v>
      </c>
      <c r="AC288" s="28" t="n">
        <f aca="false">IF($A288="","",IF(N(Y287)&gt;0,AB287,AC287))</f>
        <v>46670.9166666667</v>
      </c>
      <c r="AD288" s="27" t="n">
        <f aca="false">IF(OR(AA288="",AC288=""),"",(AA288-AC288)*24)</f>
        <v>24</v>
      </c>
      <c r="AE288" s="21" t="n">
        <f aca="false">IF($A288="","",IF(N(Y288)&gt;0,N(AE287)+1,0))</f>
        <v>5</v>
      </c>
      <c r="AF288" s="21" t="n">
        <f aca="false">IF($A288="","",IF(N(Z288)&gt;0,N(AF287)+1,0))</f>
        <v>1</v>
      </c>
      <c r="AG288" s="21" t="str">
        <f aca="false">IF($A288="","",IF(WEEKDAY($A288,2)&lt;&gt;7,"",IF(AND(OR(AA288="",N(AA288)&gt;=$A288+16/24,N(AB288)&lt;=$A288+6/24),OR(AC288="",N(AC288)&lt;=$A288+6/24)),1,0)))</f>
        <v/>
      </c>
      <c r="AH288" s="26" t="str">
        <f aca="false">IF($A288="","",IF(INDEX(Muster!$C$9:$BF$9,1,MOD($A288-Einstellungen!$C$6,Einstellungen!$C$7)+1)="","-",INDEX(Muster!$C$9:$BF$9,1,MOD($A288-Einstellungen!$C$6,Einstellungen!$C$7)+1)))</f>
        <v>S</v>
      </c>
      <c r="AI288" s="27" t="n">
        <f aca="false">IF($A288="","",IFERROR(VLOOKUP(AH288,Schichten!$A$5:$G$24,6,FALSE()),0))</f>
        <v>8</v>
      </c>
      <c r="AJ288" s="27" t="n">
        <f aca="false">IF($A288="","",IFERROR(VLOOKUP(AH288,Schichten!$A$5:$G$24,7,FALSE()),0))</f>
        <v>0</v>
      </c>
      <c r="AK288" s="28" t="n">
        <f aca="false">IF($A288="","",IF(N(AI288)=0,"",$A288+VLOOKUP(AH288,Schichten!$A$5:$G$24,3,FALSE())))</f>
        <v>46671.5833333333</v>
      </c>
      <c r="AL288" s="28" t="n">
        <f aca="false">IF(AK288="","",$A288+VLOOKUP(AH288,Schichten!$A$5:$G$24,4,FALSE())+IF(VLOOKUP(AH288,Schichten!$A$5:$G$24,4,FALSE())&lt;=VLOOKUP(AH288,Schichten!$A$5:$G$24,3,FALSE()),1,0))</f>
        <v>46671.9166666667</v>
      </c>
      <c r="AM288" s="28" t="n">
        <f aca="false">IF($A288="","",IF(N(AI287)&gt;0,AL287,AM287))</f>
        <v>46670.5833333333</v>
      </c>
      <c r="AN288" s="27" t="n">
        <f aca="false">IF(OR(AK288="",AM288=""),"",(AK288-AM288)*24)</f>
        <v>24</v>
      </c>
      <c r="AO288" s="21" t="n">
        <f aca="false">IF($A288="","",IF(N(AI288)&gt;0,N(AO287)+1,0))</f>
        <v>3</v>
      </c>
      <c r="AP288" s="21" t="n">
        <f aca="false">IF($A288="","",IF(N(AJ288)&gt;0,N(AP287)+1,0))</f>
        <v>0</v>
      </c>
      <c r="AQ288" s="21" t="str">
        <f aca="false">IF($A288="","",IF(WEEKDAY($A288,2)&lt;&gt;7,"",IF(AND(OR(AK288="",N(AK288)&gt;=$A288+16/24,N(AL288)&lt;=$A288+6/24),OR(AM288="",N(AM288)&lt;=$A288+6/24)),1,0)))</f>
        <v/>
      </c>
      <c r="AR288" s="26" t="str">
        <f aca="false">IF($A288="","",IF(INDEX(Muster!$C$10:$BF$10,1,MOD($A288-Einstellungen!$C$6,Einstellungen!$C$7)+1)="","-",INDEX(Muster!$C$10:$BF$10,1,MOD($A288-Einstellungen!$C$6,Einstellungen!$C$7)+1)))</f>
        <v>-</v>
      </c>
      <c r="AS288" s="27" t="n">
        <f aca="false">IF($A288="","",IFERROR(VLOOKUP(AR288,Schichten!$A$5:$G$24,6,FALSE()),0))</f>
        <v>0</v>
      </c>
      <c r="AT288" s="27" t="n">
        <f aca="false">IF($A288="","",IFERROR(VLOOKUP(AR288,Schichten!$A$5:$G$24,7,FALSE()),0))</f>
        <v>0</v>
      </c>
      <c r="AU288" s="28" t="str">
        <f aca="false">IF($A288="","",IF(N(AS288)=0,"",$A288+VLOOKUP(AR288,Schichten!$A$5:$G$24,3,FALSE())))</f>
        <v/>
      </c>
      <c r="AV288" s="28" t="str">
        <f aca="false">IF(AU288="","",$A288+VLOOKUP(AR288,Schichten!$A$5:$G$24,4,FALSE())+IF(VLOOKUP(AR288,Schichten!$A$5:$G$24,4,FALSE())&lt;=VLOOKUP(AR288,Schichten!$A$5:$G$24,3,FALSE()),1,0))</f>
        <v/>
      </c>
      <c r="AW288" s="28" t="str">
        <f aca="false">IF($A288="","",IF(N(AS287)&gt;0,AV287,AW287))</f>
        <v/>
      </c>
      <c r="AX288" s="27" t="str">
        <f aca="false">IF(OR(AU288="",AW288=""),"",(AU288-AW288)*24)</f>
        <v/>
      </c>
      <c r="AY288" s="21" t="n">
        <f aca="false">IF($A288="","",IF(N(AS288)&gt;0,N(AY287)+1,0))</f>
        <v>0</v>
      </c>
      <c r="AZ288" s="21" t="n">
        <f aca="false">IF($A288="","",IF(N(AT288)&gt;0,N(AZ287)+1,0))</f>
        <v>0</v>
      </c>
      <c r="BA288" s="21" t="str">
        <f aca="false">IF($A288="","",IF(WEEKDAY($A288,2)&lt;&gt;7,"",IF(AND(OR(AU288="",N(AU288)&gt;=$A288+16/24,N(AV288)&lt;=$A288+6/24),OR(AW288="",N(AW288)&lt;=$A288+6/24)),1,0)))</f>
        <v/>
      </c>
    </row>
    <row r="289" customFormat="false" ht="15" hidden="false" customHeight="false" outlineLevel="0" collapsed="false">
      <c r="A289" s="25" t="n">
        <f aca="false">IF(YEAR(DATE(Einstellungen!$C$4,1,1)+284)=Einstellungen!$C$4,DATE(Einstellungen!$C$4,1,1)+284,"")</f>
        <v>46672</v>
      </c>
      <c r="B289" s="26" t="str">
        <f aca="false">IF($A289="","",CHOOSE(WEEKDAY($A289,2),"Mo","Di","Mi","Do","Fr","Sa","So"))</f>
        <v>Di</v>
      </c>
      <c r="C289" s="26" t="n">
        <f aca="false">IF($A289="","",MONTH($A289))</f>
        <v>10</v>
      </c>
      <c r="D289" s="26" t="str">
        <f aca="false">IF($A289="","",IF(INDEX(Muster!$C$6:$BF$6,1,MOD($A289-Einstellungen!$C$6,Einstellungen!$C$7)+1)="","-",INDEX(Muster!$C$6:$BF$6,1,MOD($A289-Einstellungen!$C$6,Einstellungen!$C$7)+1)))</f>
        <v>F</v>
      </c>
      <c r="E289" s="27" t="n">
        <f aca="false">IF($A289="","",IFERROR(VLOOKUP(D289,Schichten!$A$5:$G$24,6,FALSE()),0))</f>
        <v>8</v>
      </c>
      <c r="F289" s="27" t="n">
        <f aca="false">IF($A289="","",IFERROR(VLOOKUP(D289,Schichten!$A$5:$G$24,7,FALSE()),0))</f>
        <v>0</v>
      </c>
      <c r="G289" s="28" t="n">
        <f aca="false">IF($A289="","",IF(N(E289)=0,"",$A289+VLOOKUP(D289,Schichten!$A$5:$G$24,3,FALSE())))</f>
        <v>46672.25</v>
      </c>
      <c r="H289" s="28" t="n">
        <f aca="false">IF(G289="","",$A289+VLOOKUP(D289,Schichten!$A$5:$G$24,4,FALSE())+IF(VLOOKUP(D289,Schichten!$A$5:$G$24,4,FALSE())&lt;=VLOOKUP(D289,Schichten!$A$5:$G$24,3,FALSE()),1,0))</f>
        <v>46672.5833333333</v>
      </c>
      <c r="I289" s="28" t="n">
        <f aca="false">IF($A289="","",IF(N(E288)&gt;0,H288,I288))</f>
        <v>46671.5833333333</v>
      </c>
      <c r="J289" s="27" t="n">
        <f aca="false">IF(OR(G289="",I289=""),"",(G289-I289)*24)</f>
        <v>16</v>
      </c>
      <c r="K289" s="21" t="n">
        <f aca="false">IF($A289="","",IF(N(E289)&gt;0,N(K288)+1,0))</f>
        <v>2</v>
      </c>
      <c r="L289" s="21" t="n">
        <f aca="false">IF($A289="","",IF(N(F289)&gt;0,N(L288)+1,0))</f>
        <v>0</v>
      </c>
      <c r="M289" s="21" t="str">
        <f aca="false">IF($A289="","",IF(WEEKDAY($A289,2)&lt;&gt;7,"",IF(AND(OR(G289="",N(G289)&gt;=$A289+16/24,N(H289)&lt;=$A289+6/24),OR(I289="",N(I289)&lt;=$A289+6/24)),1,0)))</f>
        <v/>
      </c>
      <c r="N289" s="26" t="str">
        <f aca="false">IF($A289="","",IF(INDEX(Muster!$C$7:$BF$7,1,MOD($A289-Einstellungen!$C$6,Einstellungen!$C$7)+1)="","-",INDEX(Muster!$C$7:$BF$7,1,MOD($A289-Einstellungen!$C$6,Einstellungen!$C$7)+1)))</f>
        <v>-</v>
      </c>
      <c r="O289" s="27" t="n">
        <f aca="false">IF($A289="","",IFERROR(VLOOKUP(N289,Schichten!$A$5:$G$24,6,FALSE()),0))</f>
        <v>0</v>
      </c>
      <c r="P289" s="27" t="n">
        <f aca="false">IF($A289="","",IFERROR(VLOOKUP(N289,Schichten!$A$5:$G$24,7,FALSE()),0))</f>
        <v>0</v>
      </c>
      <c r="Q289" s="28" t="str">
        <f aca="false">IF($A289="","",IF(N(O289)=0,"",$A289+VLOOKUP(N289,Schichten!$A$5:$G$24,3,FALSE())))</f>
        <v/>
      </c>
      <c r="R289" s="28" t="str">
        <f aca="false">IF(Q289="","",$A289+VLOOKUP(N289,Schichten!$A$5:$G$24,4,FALSE())+IF(VLOOKUP(N289,Schichten!$A$5:$G$24,4,FALSE())&lt;=VLOOKUP(N289,Schichten!$A$5:$G$24,3,FALSE()),1,0))</f>
        <v/>
      </c>
      <c r="S289" s="28" t="n">
        <f aca="false">IF($A289="","",IF(N(O288)&gt;0,R288,S288))</f>
        <v>46671.25</v>
      </c>
      <c r="T289" s="27" t="str">
        <f aca="false">IF(OR(Q289="",S289=""),"",(Q289-S289)*24)</f>
        <v/>
      </c>
      <c r="U289" s="21" t="n">
        <f aca="false">IF($A289="","",IF(N(O289)&gt;0,N(U288)+1,0))</f>
        <v>0</v>
      </c>
      <c r="V289" s="21" t="n">
        <f aca="false">IF($A289="","",IF(N(P289)&gt;0,N(V288)+1,0))</f>
        <v>0</v>
      </c>
      <c r="W289" s="21" t="str">
        <f aca="false">IF($A289="","",IF(WEEKDAY($A289,2)&lt;&gt;7,"",IF(AND(OR(Q289="",N(Q289)&gt;=$A289+16/24,N(R289)&lt;=$A289+6/24),OR(S289="",N(S289)&lt;=$A289+6/24)),1,0)))</f>
        <v/>
      </c>
      <c r="X289" s="26" t="str">
        <f aca="false">IF($A289="","",IF(INDEX(Muster!$C$8:$BF$8,1,MOD($A289-Einstellungen!$C$6,Einstellungen!$C$7)+1)="","-",INDEX(Muster!$C$8:$BF$8,1,MOD($A289-Einstellungen!$C$6,Einstellungen!$C$7)+1)))</f>
        <v>N</v>
      </c>
      <c r="Y289" s="27" t="n">
        <f aca="false">IF($A289="","",IFERROR(VLOOKUP(X289,Schichten!$A$5:$G$24,6,FALSE()),0))</f>
        <v>8</v>
      </c>
      <c r="Z289" s="27" t="n">
        <f aca="false">IF($A289="","",IFERROR(VLOOKUP(X289,Schichten!$A$5:$G$24,7,FALSE()),0))</f>
        <v>7</v>
      </c>
      <c r="AA289" s="28" t="n">
        <f aca="false">IF($A289="","",IF(N(Y289)=0,"",$A289+VLOOKUP(X289,Schichten!$A$5:$G$24,3,FALSE())))</f>
        <v>46672.9166666667</v>
      </c>
      <c r="AB289" s="28" t="n">
        <f aca="false">IF(AA289="","",$A289+VLOOKUP(X289,Schichten!$A$5:$G$24,4,FALSE())+IF(VLOOKUP(X289,Schichten!$A$5:$G$24,4,FALSE())&lt;=VLOOKUP(X289,Schichten!$A$5:$G$24,3,FALSE()),1,0))</f>
        <v>46673.25</v>
      </c>
      <c r="AC289" s="28" t="n">
        <f aca="false">IF($A289="","",IF(N(Y288)&gt;0,AB288,AC288))</f>
        <v>46672.25</v>
      </c>
      <c r="AD289" s="27" t="n">
        <f aca="false">IF(OR(AA289="",AC289=""),"",(AA289-AC289)*24)</f>
        <v>16</v>
      </c>
      <c r="AE289" s="21" t="n">
        <f aca="false">IF($A289="","",IF(N(Y289)&gt;0,N(AE288)+1,0))</f>
        <v>6</v>
      </c>
      <c r="AF289" s="21" t="n">
        <f aca="false">IF($A289="","",IF(N(Z289)&gt;0,N(AF288)+1,0))</f>
        <v>2</v>
      </c>
      <c r="AG289" s="21" t="str">
        <f aca="false">IF($A289="","",IF(WEEKDAY($A289,2)&lt;&gt;7,"",IF(AND(OR(AA289="",N(AA289)&gt;=$A289+16/24,N(AB289)&lt;=$A289+6/24),OR(AC289="",N(AC289)&lt;=$A289+6/24)),1,0)))</f>
        <v/>
      </c>
      <c r="AH289" s="26" t="str">
        <f aca="false">IF($A289="","",IF(INDEX(Muster!$C$9:$BF$9,1,MOD($A289-Einstellungen!$C$6,Einstellungen!$C$7)+1)="","-",INDEX(Muster!$C$9:$BF$9,1,MOD($A289-Einstellungen!$C$6,Einstellungen!$C$7)+1)))</f>
        <v>S</v>
      </c>
      <c r="AI289" s="27" t="n">
        <f aca="false">IF($A289="","",IFERROR(VLOOKUP(AH289,Schichten!$A$5:$G$24,6,FALSE()),0))</f>
        <v>8</v>
      </c>
      <c r="AJ289" s="27" t="n">
        <f aca="false">IF($A289="","",IFERROR(VLOOKUP(AH289,Schichten!$A$5:$G$24,7,FALSE()),0))</f>
        <v>0</v>
      </c>
      <c r="AK289" s="28" t="n">
        <f aca="false">IF($A289="","",IF(N(AI289)=0,"",$A289+VLOOKUP(AH289,Schichten!$A$5:$G$24,3,FALSE())))</f>
        <v>46672.5833333333</v>
      </c>
      <c r="AL289" s="28" t="n">
        <f aca="false">IF(AK289="","",$A289+VLOOKUP(AH289,Schichten!$A$5:$G$24,4,FALSE())+IF(VLOOKUP(AH289,Schichten!$A$5:$G$24,4,FALSE())&lt;=VLOOKUP(AH289,Schichten!$A$5:$G$24,3,FALSE()),1,0))</f>
        <v>46672.9166666667</v>
      </c>
      <c r="AM289" s="28" t="n">
        <f aca="false">IF($A289="","",IF(N(AI288)&gt;0,AL288,AM288))</f>
        <v>46671.9166666667</v>
      </c>
      <c r="AN289" s="27" t="n">
        <f aca="false">IF(OR(AK289="",AM289=""),"",(AK289-AM289)*24)</f>
        <v>16</v>
      </c>
      <c r="AO289" s="21" t="n">
        <f aca="false">IF($A289="","",IF(N(AI289)&gt;0,N(AO288)+1,0))</f>
        <v>4</v>
      </c>
      <c r="AP289" s="21" t="n">
        <f aca="false">IF($A289="","",IF(N(AJ289)&gt;0,N(AP288)+1,0))</f>
        <v>0</v>
      </c>
      <c r="AQ289" s="21" t="str">
        <f aca="false">IF($A289="","",IF(WEEKDAY($A289,2)&lt;&gt;7,"",IF(AND(OR(AK289="",N(AK289)&gt;=$A289+16/24,N(AL289)&lt;=$A289+6/24),OR(AM289="",N(AM289)&lt;=$A289+6/24)),1,0)))</f>
        <v/>
      </c>
      <c r="AR289" s="26" t="str">
        <f aca="false">IF($A289="","",IF(INDEX(Muster!$C$10:$BF$10,1,MOD($A289-Einstellungen!$C$6,Einstellungen!$C$7)+1)="","-",INDEX(Muster!$C$10:$BF$10,1,MOD($A289-Einstellungen!$C$6,Einstellungen!$C$7)+1)))</f>
        <v>-</v>
      </c>
      <c r="AS289" s="27" t="n">
        <f aca="false">IF($A289="","",IFERROR(VLOOKUP(AR289,Schichten!$A$5:$G$24,6,FALSE()),0))</f>
        <v>0</v>
      </c>
      <c r="AT289" s="27" t="n">
        <f aca="false">IF($A289="","",IFERROR(VLOOKUP(AR289,Schichten!$A$5:$G$24,7,FALSE()),0))</f>
        <v>0</v>
      </c>
      <c r="AU289" s="28" t="str">
        <f aca="false">IF($A289="","",IF(N(AS289)=0,"",$A289+VLOOKUP(AR289,Schichten!$A$5:$G$24,3,FALSE())))</f>
        <v/>
      </c>
      <c r="AV289" s="28" t="str">
        <f aca="false">IF(AU289="","",$A289+VLOOKUP(AR289,Schichten!$A$5:$G$24,4,FALSE())+IF(VLOOKUP(AR289,Schichten!$A$5:$G$24,4,FALSE())&lt;=VLOOKUP(AR289,Schichten!$A$5:$G$24,3,FALSE()),1,0))</f>
        <v/>
      </c>
      <c r="AW289" s="28" t="str">
        <f aca="false">IF($A289="","",IF(N(AS288)&gt;0,AV288,AW288))</f>
        <v/>
      </c>
      <c r="AX289" s="27" t="str">
        <f aca="false">IF(OR(AU289="",AW289=""),"",(AU289-AW289)*24)</f>
        <v/>
      </c>
      <c r="AY289" s="21" t="n">
        <f aca="false">IF($A289="","",IF(N(AS289)&gt;0,N(AY288)+1,0))</f>
        <v>0</v>
      </c>
      <c r="AZ289" s="21" t="n">
        <f aca="false">IF($A289="","",IF(N(AT289)&gt;0,N(AZ288)+1,0))</f>
        <v>0</v>
      </c>
      <c r="BA289" s="21" t="str">
        <f aca="false">IF($A289="","",IF(WEEKDAY($A289,2)&lt;&gt;7,"",IF(AND(OR(AU289="",N(AU289)&gt;=$A289+16/24,N(AV289)&lt;=$A289+6/24),OR(AW289="",N(AW289)&lt;=$A289+6/24)),1,0)))</f>
        <v/>
      </c>
    </row>
    <row r="290" customFormat="false" ht="15" hidden="false" customHeight="false" outlineLevel="0" collapsed="false">
      <c r="A290" s="25" t="n">
        <f aca="false">IF(YEAR(DATE(Einstellungen!$C$4,1,1)+285)=Einstellungen!$C$4,DATE(Einstellungen!$C$4,1,1)+285,"")</f>
        <v>46673</v>
      </c>
      <c r="B290" s="26" t="str">
        <f aca="false">IF($A290="","",CHOOSE(WEEKDAY($A290,2),"Mo","Di","Mi","Do","Fr","Sa","So"))</f>
        <v>Mi</v>
      </c>
      <c r="C290" s="26" t="n">
        <f aca="false">IF($A290="","",MONTH($A290))</f>
        <v>10</v>
      </c>
      <c r="D290" s="26" t="str">
        <f aca="false">IF($A290="","",IF(INDEX(Muster!$C$6:$BF$6,1,MOD($A290-Einstellungen!$C$6,Einstellungen!$C$7)+1)="","-",INDEX(Muster!$C$6:$BF$6,1,MOD($A290-Einstellungen!$C$6,Einstellungen!$C$7)+1)))</f>
        <v>S</v>
      </c>
      <c r="E290" s="27" t="n">
        <f aca="false">IF($A290="","",IFERROR(VLOOKUP(D290,Schichten!$A$5:$G$24,6,FALSE()),0))</f>
        <v>8</v>
      </c>
      <c r="F290" s="27" t="n">
        <f aca="false">IF($A290="","",IFERROR(VLOOKUP(D290,Schichten!$A$5:$G$24,7,FALSE()),0))</f>
        <v>0</v>
      </c>
      <c r="G290" s="28" t="n">
        <f aca="false">IF($A290="","",IF(N(E290)=0,"",$A290+VLOOKUP(D290,Schichten!$A$5:$G$24,3,FALSE())))</f>
        <v>46673.5833333333</v>
      </c>
      <c r="H290" s="28" t="n">
        <f aca="false">IF(G290="","",$A290+VLOOKUP(D290,Schichten!$A$5:$G$24,4,FALSE())+IF(VLOOKUP(D290,Schichten!$A$5:$G$24,4,FALSE())&lt;=VLOOKUP(D290,Schichten!$A$5:$G$24,3,FALSE()),1,0))</f>
        <v>46673.9166666667</v>
      </c>
      <c r="I290" s="28" t="n">
        <f aca="false">IF($A290="","",IF(N(E289)&gt;0,H289,I289))</f>
        <v>46672.5833333333</v>
      </c>
      <c r="J290" s="27" t="n">
        <f aca="false">IF(OR(G290="",I290=""),"",(G290-I290)*24)</f>
        <v>24</v>
      </c>
      <c r="K290" s="21" t="n">
        <f aca="false">IF($A290="","",IF(N(E290)&gt;0,N(K289)+1,0))</f>
        <v>3</v>
      </c>
      <c r="L290" s="21" t="n">
        <f aca="false">IF($A290="","",IF(N(F290)&gt;0,N(L289)+1,0))</f>
        <v>0</v>
      </c>
      <c r="M290" s="21" t="str">
        <f aca="false">IF($A290="","",IF(WEEKDAY($A290,2)&lt;&gt;7,"",IF(AND(OR(G290="",N(G290)&gt;=$A290+16/24,N(H290)&lt;=$A290+6/24),OR(I290="",N(I290)&lt;=$A290+6/24)),1,0)))</f>
        <v/>
      </c>
      <c r="N290" s="26" t="str">
        <f aca="false">IF($A290="","",IF(INDEX(Muster!$C$7:$BF$7,1,MOD($A290-Einstellungen!$C$6,Einstellungen!$C$7)+1)="","-",INDEX(Muster!$C$7:$BF$7,1,MOD($A290-Einstellungen!$C$6,Einstellungen!$C$7)+1)))</f>
        <v>F</v>
      </c>
      <c r="O290" s="27" t="n">
        <f aca="false">IF($A290="","",IFERROR(VLOOKUP(N290,Schichten!$A$5:$G$24,6,FALSE()),0))</f>
        <v>8</v>
      </c>
      <c r="P290" s="27" t="n">
        <f aca="false">IF($A290="","",IFERROR(VLOOKUP(N290,Schichten!$A$5:$G$24,7,FALSE()),0))</f>
        <v>0</v>
      </c>
      <c r="Q290" s="28" t="n">
        <f aca="false">IF($A290="","",IF(N(O290)=0,"",$A290+VLOOKUP(N290,Schichten!$A$5:$G$24,3,FALSE())))</f>
        <v>46673.25</v>
      </c>
      <c r="R290" s="28" t="n">
        <f aca="false">IF(Q290="","",$A290+VLOOKUP(N290,Schichten!$A$5:$G$24,4,FALSE())+IF(VLOOKUP(N290,Schichten!$A$5:$G$24,4,FALSE())&lt;=VLOOKUP(N290,Schichten!$A$5:$G$24,3,FALSE()),1,0))</f>
        <v>46673.5833333333</v>
      </c>
      <c r="S290" s="28" t="n">
        <f aca="false">IF($A290="","",IF(N(O289)&gt;0,R289,S289))</f>
        <v>46671.25</v>
      </c>
      <c r="T290" s="27" t="n">
        <f aca="false">IF(OR(Q290="",S290=""),"",(Q290-S290)*24)</f>
        <v>48</v>
      </c>
      <c r="U290" s="21" t="n">
        <f aca="false">IF($A290="","",IF(N(O290)&gt;0,N(U289)+1,0))</f>
        <v>1</v>
      </c>
      <c r="V290" s="21" t="n">
        <f aca="false">IF($A290="","",IF(N(P290)&gt;0,N(V289)+1,0))</f>
        <v>0</v>
      </c>
      <c r="W290" s="21" t="str">
        <f aca="false">IF($A290="","",IF(WEEKDAY($A290,2)&lt;&gt;7,"",IF(AND(OR(Q290="",N(Q290)&gt;=$A290+16/24,N(R290)&lt;=$A290+6/24),OR(S290="",N(S290)&lt;=$A290+6/24)),1,0)))</f>
        <v/>
      </c>
      <c r="X290" s="26" t="str">
        <f aca="false">IF($A290="","",IF(INDEX(Muster!$C$8:$BF$8,1,MOD($A290-Einstellungen!$C$6,Einstellungen!$C$7)+1)="","-",INDEX(Muster!$C$8:$BF$8,1,MOD($A290-Einstellungen!$C$6,Einstellungen!$C$7)+1)))</f>
        <v>-</v>
      </c>
      <c r="Y290" s="27" t="n">
        <f aca="false">IF($A290="","",IFERROR(VLOOKUP(X290,Schichten!$A$5:$G$24,6,FALSE()),0))</f>
        <v>0</v>
      </c>
      <c r="Z290" s="27" t="n">
        <f aca="false">IF($A290="","",IFERROR(VLOOKUP(X290,Schichten!$A$5:$G$24,7,FALSE()),0))</f>
        <v>0</v>
      </c>
      <c r="AA290" s="28" t="str">
        <f aca="false">IF($A290="","",IF(N(Y290)=0,"",$A290+VLOOKUP(X290,Schichten!$A$5:$G$24,3,FALSE())))</f>
        <v/>
      </c>
      <c r="AB290" s="28" t="str">
        <f aca="false">IF(AA290="","",$A290+VLOOKUP(X290,Schichten!$A$5:$G$24,4,FALSE())+IF(VLOOKUP(X290,Schichten!$A$5:$G$24,4,FALSE())&lt;=VLOOKUP(X290,Schichten!$A$5:$G$24,3,FALSE()),1,0))</f>
        <v/>
      </c>
      <c r="AC290" s="28" t="n">
        <f aca="false">IF($A290="","",IF(N(Y289)&gt;0,AB289,AC289))</f>
        <v>46673.25</v>
      </c>
      <c r="AD290" s="27" t="str">
        <f aca="false">IF(OR(AA290="",AC290=""),"",(AA290-AC290)*24)</f>
        <v/>
      </c>
      <c r="AE290" s="21" t="n">
        <f aca="false">IF($A290="","",IF(N(Y290)&gt;0,N(AE289)+1,0))</f>
        <v>0</v>
      </c>
      <c r="AF290" s="21" t="n">
        <f aca="false">IF($A290="","",IF(N(Z290)&gt;0,N(AF289)+1,0))</f>
        <v>0</v>
      </c>
      <c r="AG290" s="21" t="str">
        <f aca="false">IF($A290="","",IF(WEEKDAY($A290,2)&lt;&gt;7,"",IF(AND(OR(AA290="",N(AA290)&gt;=$A290+16/24,N(AB290)&lt;=$A290+6/24),OR(AC290="",N(AC290)&lt;=$A290+6/24)),1,0)))</f>
        <v/>
      </c>
      <c r="AH290" s="26" t="str">
        <f aca="false">IF($A290="","",IF(INDEX(Muster!$C$9:$BF$9,1,MOD($A290-Einstellungen!$C$6,Einstellungen!$C$7)+1)="","-",INDEX(Muster!$C$9:$BF$9,1,MOD($A290-Einstellungen!$C$6,Einstellungen!$C$7)+1)))</f>
        <v>N</v>
      </c>
      <c r="AI290" s="27" t="n">
        <f aca="false">IF($A290="","",IFERROR(VLOOKUP(AH290,Schichten!$A$5:$G$24,6,FALSE()),0))</f>
        <v>8</v>
      </c>
      <c r="AJ290" s="27" t="n">
        <f aca="false">IF($A290="","",IFERROR(VLOOKUP(AH290,Schichten!$A$5:$G$24,7,FALSE()),0))</f>
        <v>7</v>
      </c>
      <c r="AK290" s="28" t="n">
        <f aca="false">IF($A290="","",IF(N(AI290)=0,"",$A290+VLOOKUP(AH290,Schichten!$A$5:$G$24,3,FALSE())))</f>
        <v>46673.9166666667</v>
      </c>
      <c r="AL290" s="28" t="n">
        <f aca="false">IF(AK290="","",$A290+VLOOKUP(AH290,Schichten!$A$5:$G$24,4,FALSE())+IF(VLOOKUP(AH290,Schichten!$A$5:$G$24,4,FALSE())&lt;=VLOOKUP(AH290,Schichten!$A$5:$G$24,3,FALSE()),1,0))</f>
        <v>46674.25</v>
      </c>
      <c r="AM290" s="28" t="n">
        <f aca="false">IF($A290="","",IF(N(AI289)&gt;0,AL289,AM289))</f>
        <v>46672.9166666667</v>
      </c>
      <c r="AN290" s="27" t="n">
        <f aca="false">IF(OR(AK290="",AM290=""),"",(AK290-AM290)*24)</f>
        <v>24</v>
      </c>
      <c r="AO290" s="21" t="n">
        <f aca="false">IF($A290="","",IF(N(AI290)&gt;0,N(AO289)+1,0))</f>
        <v>5</v>
      </c>
      <c r="AP290" s="21" t="n">
        <f aca="false">IF($A290="","",IF(N(AJ290)&gt;0,N(AP289)+1,0))</f>
        <v>1</v>
      </c>
      <c r="AQ290" s="21" t="str">
        <f aca="false">IF($A290="","",IF(WEEKDAY($A290,2)&lt;&gt;7,"",IF(AND(OR(AK290="",N(AK290)&gt;=$A290+16/24,N(AL290)&lt;=$A290+6/24),OR(AM290="",N(AM290)&lt;=$A290+6/24)),1,0)))</f>
        <v/>
      </c>
      <c r="AR290" s="26" t="str">
        <f aca="false">IF($A290="","",IF(INDEX(Muster!$C$10:$BF$10,1,MOD($A290-Einstellungen!$C$6,Einstellungen!$C$7)+1)="","-",INDEX(Muster!$C$10:$BF$10,1,MOD($A290-Einstellungen!$C$6,Einstellungen!$C$7)+1)))</f>
        <v>-</v>
      </c>
      <c r="AS290" s="27" t="n">
        <f aca="false">IF($A290="","",IFERROR(VLOOKUP(AR290,Schichten!$A$5:$G$24,6,FALSE()),0))</f>
        <v>0</v>
      </c>
      <c r="AT290" s="27" t="n">
        <f aca="false">IF($A290="","",IFERROR(VLOOKUP(AR290,Schichten!$A$5:$G$24,7,FALSE()),0))</f>
        <v>0</v>
      </c>
      <c r="AU290" s="28" t="str">
        <f aca="false">IF($A290="","",IF(N(AS290)=0,"",$A290+VLOOKUP(AR290,Schichten!$A$5:$G$24,3,FALSE())))</f>
        <v/>
      </c>
      <c r="AV290" s="28" t="str">
        <f aca="false">IF(AU290="","",$A290+VLOOKUP(AR290,Schichten!$A$5:$G$24,4,FALSE())+IF(VLOOKUP(AR290,Schichten!$A$5:$G$24,4,FALSE())&lt;=VLOOKUP(AR290,Schichten!$A$5:$G$24,3,FALSE()),1,0))</f>
        <v/>
      </c>
      <c r="AW290" s="28" t="str">
        <f aca="false">IF($A290="","",IF(N(AS289)&gt;0,AV289,AW289))</f>
        <v/>
      </c>
      <c r="AX290" s="27" t="str">
        <f aca="false">IF(OR(AU290="",AW290=""),"",(AU290-AW290)*24)</f>
        <v/>
      </c>
      <c r="AY290" s="21" t="n">
        <f aca="false">IF($A290="","",IF(N(AS290)&gt;0,N(AY289)+1,0))</f>
        <v>0</v>
      </c>
      <c r="AZ290" s="21" t="n">
        <f aca="false">IF($A290="","",IF(N(AT290)&gt;0,N(AZ289)+1,0))</f>
        <v>0</v>
      </c>
      <c r="BA290" s="21" t="str">
        <f aca="false">IF($A290="","",IF(WEEKDAY($A290,2)&lt;&gt;7,"",IF(AND(OR(AU290="",N(AU290)&gt;=$A290+16/24,N(AV290)&lt;=$A290+6/24),OR(AW290="",N(AW290)&lt;=$A290+6/24)),1,0)))</f>
        <v/>
      </c>
    </row>
    <row r="291" customFormat="false" ht="15" hidden="false" customHeight="false" outlineLevel="0" collapsed="false">
      <c r="A291" s="25" t="n">
        <f aca="false">IF(YEAR(DATE(Einstellungen!$C$4,1,1)+286)=Einstellungen!$C$4,DATE(Einstellungen!$C$4,1,1)+286,"")</f>
        <v>46674</v>
      </c>
      <c r="B291" s="26" t="str">
        <f aca="false">IF($A291="","",CHOOSE(WEEKDAY($A291,2),"Mo","Di","Mi","Do","Fr","Sa","So"))</f>
        <v>Do</v>
      </c>
      <c r="C291" s="26" t="n">
        <f aca="false">IF($A291="","",MONTH($A291))</f>
        <v>10</v>
      </c>
      <c r="D291" s="26" t="str">
        <f aca="false">IF($A291="","",IF(INDEX(Muster!$C$6:$BF$6,1,MOD($A291-Einstellungen!$C$6,Einstellungen!$C$7)+1)="","-",INDEX(Muster!$C$6:$BF$6,1,MOD($A291-Einstellungen!$C$6,Einstellungen!$C$7)+1)))</f>
        <v>S</v>
      </c>
      <c r="E291" s="27" t="n">
        <f aca="false">IF($A291="","",IFERROR(VLOOKUP(D291,Schichten!$A$5:$G$24,6,FALSE()),0))</f>
        <v>8</v>
      </c>
      <c r="F291" s="27" t="n">
        <f aca="false">IF($A291="","",IFERROR(VLOOKUP(D291,Schichten!$A$5:$G$24,7,FALSE()),0))</f>
        <v>0</v>
      </c>
      <c r="G291" s="28" t="n">
        <f aca="false">IF($A291="","",IF(N(E291)=0,"",$A291+VLOOKUP(D291,Schichten!$A$5:$G$24,3,FALSE())))</f>
        <v>46674.5833333333</v>
      </c>
      <c r="H291" s="28" t="n">
        <f aca="false">IF(G291="","",$A291+VLOOKUP(D291,Schichten!$A$5:$G$24,4,FALSE())+IF(VLOOKUP(D291,Schichten!$A$5:$G$24,4,FALSE())&lt;=VLOOKUP(D291,Schichten!$A$5:$G$24,3,FALSE()),1,0))</f>
        <v>46674.9166666667</v>
      </c>
      <c r="I291" s="28" t="n">
        <f aca="false">IF($A291="","",IF(N(E290)&gt;0,H290,I290))</f>
        <v>46673.9166666667</v>
      </c>
      <c r="J291" s="27" t="n">
        <f aca="false">IF(OR(G291="",I291=""),"",(G291-I291)*24)</f>
        <v>16</v>
      </c>
      <c r="K291" s="21" t="n">
        <f aca="false">IF($A291="","",IF(N(E291)&gt;0,N(K290)+1,0))</f>
        <v>4</v>
      </c>
      <c r="L291" s="21" t="n">
        <f aca="false">IF($A291="","",IF(N(F291)&gt;0,N(L290)+1,0))</f>
        <v>0</v>
      </c>
      <c r="M291" s="21" t="str">
        <f aca="false">IF($A291="","",IF(WEEKDAY($A291,2)&lt;&gt;7,"",IF(AND(OR(G291="",N(G291)&gt;=$A291+16/24,N(H291)&lt;=$A291+6/24),OR(I291="",N(I291)&lt;=$A291+6/24)),1,0)))</f>
        <v/>
      </c>
      <c r="N291" s="26" t="str">
        <f aca="false">IF($A291="","",IF(INDEX(Muster!$C$7:$BF$7,1,MOD($A291-Einstellungen!$C$6,Einstellungen!$C$7)+1)="","-",INDEX(Muster!$C$7:$BF$7,1,MOD($A291-Einstellungen!$C$6,Einstellungen!$C$7)+1)))</f>
        <v>F</v>
      </c>
      <c r="O291" s="27" t="n">
        <f aca="false">IF($A291="","",IFERROR(VLOOKUP(N291,Schichten!$A$5:$G$24,6,FALSE()),0))</f>
        <v>8</v>
      </c>
      <c r="P291" s="27" t="n">
        <f aca="false">IF($A291="","",IFERROR(VLOOKUP(N291,Schichten!$A$5:$G$24,7,FALSE()),0))</f>
        <v>0</v>
      </c>
      <c r="Q291" s="28" t="n">
        <f aca="false">IF($A291="","",IF(N(O291)=0,"",$A291+VLOOKUP(N291,Schichten!$A$5:$G$24,3,FALSE())))</f>
        <v>46674.25</v>
      </c>
      <c r="R291" s="28" t="n">
        <f aca="false">IF(Q291="","",$A291+VLOOKUP(N291,Schichten!$A$5:$G$24,4,FALSE())+IF(VLOOKUP(N291,Schichten!$A$5:$G$24,4,FALSE())&lt;=VLOOKUP(N291,Schichten!$A$5:$G$24,3,FALSE()),1,0))</f>
        <v>46674.5833333333</v>
      </c>
      <c r="S291" s="28" t="n">
        <f aca="false">IF($A291="","",IF(N(O290)&gt;0,R290,S290))</f>
        <v>46673.5833333333</v>
      </c>
      <c r="T291" s="27" t="n">
        <f aca="false">IF(OR(Q291="",S291=""),"",(Q291-S291)*24)</f>
        <v>16</v>
      </c>
      <c r="U291" s="21" t="n">
        <f aca="false">IF($A291="","",IF(N(O291)&gt;0,N(U290)+1,0))</f>
        <v>2</v>
      </c>
      <c r="V291" s="21" t="n">
        <f aca="false">IF($A291="","",IF(N(P291)&gt;0,N(V290)+1,0))</f>
        <v>0</v>
      </c>
      <c r="W291" s="21" t="str">
        <f aca="false">IF($A291="","",IF(WEEKDAY($A291,2)&lt;&gt;7,"",IF(AND(OR(Q291="",N(Q291)&gt;=$A291+16/24,N(R291)&lt;=$A291+6/24),OR(S291="",N(S291)&lt;=$A291+6/24)),1,0)))</f>
        <v/>
      </c>
      <c r="X291" s="26" t="str">
        <f aca="false">IF($A291="","",IF(INDEX(Muster!$C$8:$BF$8,1,MOD($A291-Einstellungen!$C$6,Einstellungen!$C$7)+1)="","-",INDEX(Muster!$C$8:$BF$8,1,MOD($A291-Einstellungen!$C$6,Einstellungen!$C$7)+1)))</f>
        <v>-</v>
      </c>
      <c r="Y291" s="27" t="n">
        <f aca="false">IF($A291="","",IFERROR(VLOOKUP(X291,Schichten!$A$5:$G$24,6,FALSE()),0))</f>
        <v>0</v>
      </c>
      <c r="Z291" s="27" t="n">
        <f aca="false">IF($A291="","",IFERROR(VLOOKUP(X291,Schichten!$A$5:$G$24,7,FALSE()),0))</f>
        <v>0</v>
      </c>
      <c r="AA291" s="28" t="str">
        <f aca="false">IF($A291="","",IF(N(Y291)=0,"",$A291+VLOOKUP(X291,Schichten!$A$5:$G$24,3,FALSE())))</f>
        <v/>
      </c>
      <c r="AB291" s="28" t="str">
        <f aca="false">IF(AA291="","",$A291+VLOOKUP(X291,Schichten!$A$5:$G$24,4,FALSE())+IF(VLOOKUP(X291,Schichten!$A$5:$G$24,4,FALSE())&lt;=VLOOKUP(X291,Schichten!$A$5:$G$24,3,FALSE()),1,0))</f>
        <v/>
      </c>
      <c r="AC291" s="28" t="n">
        <f aca="false">IF($A291="","",IF(N(Y290)&gt;0,AB290,AC290))</f>
        <v>46673.25</v>
      </c>
      <c r="AD291" s="27" t="str">
        <f aca="false">IF(OR(AA291="",AC291=""),"",(AA291-AC291)*24)</f>
        <v/>
      </c>
      <c r="AE291" s="21" t="n">
        <f aca="false">IF($A291="","",IF(N(Y291)&gt;0,N(AE290)+1,0))</f>
        <v>0</v>
      </c>
      <c r="AF291" s="21" t="n">
        <f aca="false">IF($A291="","",IF(N(Z291)&gt;0,N(AF290)+1,0))</f>
        <v>0</v>
      </c>
      <c r="AG291" s="21" t="str">
        <f aca="false">IF($A291="","",IF(WEEKDAY($A291,2)&lt;&gt;7,"",IF(AND(OR(AA291="",N(AA291)&gt;=$A291+16/24,N(AB291)&lt;=$A291+6/24),OR(AC291="",N(AC291)&lt;=$A291+6/24)),1,0)))</f>
        <v/>
      </c>
      <c r="AH291" s="26" t="str">
        <f aca="false">IF($A291="","",IF(INDEX(Muster!$C$9:$BF$9,1,MOD($A291-Einstellungen!$C$6,Einstellungen!$C$7)+1)="","-",INDEX(Muster!$C$9:$BF$9,1,MOD($A291-Einstellungen!$C$6,Einstellungen!$C$7)+1)))</f>
        <v>N</v>
      </c>
      <c r="AI291" s="27" t="n">
        <f aca="false">IF($A291="","",IFERROR(VLOOKUP(AH291,Schichten!$A$5:$G$24,6,FALSE()),0))</f>
        <v>8</v>
      </c>
      <c r="AJ291" s="27" t="n">
        <f aca="false">IF($A291="","",IFERROR(VLOOKUP(AH291,Schichten!$A$5:$G$24,7,FALSE()),0))</f>
        <v>7</v>
      </c>
      <c r="AK291" s="28" t="n">
        <f aca="false">IF($A291="","",IF(N(AI291)=0,"",$A291+VLOOKUP(AH291,Schichten!$A$5:$G$24,3,FALSE())))</f>
        <v>46674.9166666667</v>
      </c>
      <c r="AL291" s="28" t="n">
        <f aca="false">IF(AK291="","",$A291+VLOOKUP(AH291,Schichten!$A$5:$G$24,4,FALSE())+IF(VLOOKUP(AH291,Schichten!$A$5:$G$24,4,FALSE())&lt;=VLOOKUP(AH291,Schichten!$A$5:$G$24,3,FALSE()),1,0))</f>
        <v>46675.25</v>
      </c>
      <c r="AM291" s="28" t="n">
        <f aca="false">IF($A291="","",IF(N(AI290)&gt;0,AL290,AM290))</f>
        <v>46674.25</v>
      </c>
      <c r="AN291" s="27" t="n">
        <f aca="false">IF(OR(AK291="",AM291=""),"",(AK291-AM291)*24)</f>
        <v>16</v>
      </c>
      <c r="AO291" s="21" t="n">
        <f aca="false">IF($A291="","",IF(N(AI291)&gt;0,N(AO290)+1,0))</f>
        <v>6</v>
      </c>
      <c r="AP291" s="21" t="n">
        <f aca="false">IF($A291="","",IF(N(AJ291)&gt;0,N(AP290)+1,0))</f>
        <v>2</v>
      </c>
      <c r="AQ291" s="21" t="str">
        <f aca="false">IF($A291="","",IF(WEEKDAY($A291,2)&lt;&gt;7,"",IF(AND(OR(AK291="",N(AK291)&gt;=$A291+16/24,N(AL291)&lt;=$A291+6/24),OR(AM291="",N(AM291)&lt;=$A291+6/24)),1,0)))</f>
        <v/>
      </c>
      <c r="AR291" s="26" t="str">
        <f aca="false">IF($A291="","",IF(INDEX(Muster!$C$10:$BF$10,1,MOD($A291-Einstellungen!$C$6,Einstellungen!$C$7)+1)="","-",INDEX(Muster!$C$10:$BF$10,1,MOD($A291-Einstellungen!$C$6,Einstellungen!$C$7)+1)))</f>
        <v>-</v>
      </c>
      <c r="AS291" s="27" t="n">
        <f aca="false">IF($A291="","",IFERROR(VLOOKUP(AR291,Schichten!$A$5:$G$24,6,FALSE()),0))</f>
        <v>0</v>
      </c>
      <c r="AT291" s="27" t="n">
        <f aca="false">IF($A291="","",IFERROR(VLOOKUP(AR291,Schichten!$A$5:$G$24,7,FALSE()),0))</f>
        <v>0</v>
      </c>
      <c r="AU291" s="28" t="str">
        <f aca="false">IF($A291="","",IF(N(AS291)=0,"",$A291+VLOOKUP(AR291,Schichten!$A$5:$G$24,3,FALSE())))</f>
        <v/>
      </c>
      <c r="AV291" s="28" t="str">
        <f aca="false">IF(AU291="","",$A291+VLOOKUP(AR291,Schichten!$A$5:$G$24,4,FALSE())+IF(VLOOKUP(AR291,Schichten!$A$5:$G$24,4,FALSE())&lt;=VLOOKUP(AR291,Schichten!$A$5:$G$24,3,FALSE()),1,0))</f>
        <v/>
      </c>
      <c r="AW291" s="28" t="str">
        <f aca="false">IF($A291="","",IF(N(AS290)&gt;0,AV290,AW290))</f>
        <v/>
      </c>
      <c r="AX291" s="27" t="str">
        <f aca="false">IF(OR(AU291="",AW291=""),"",(AU291-AW291)*24)</f>
        <v/>
      </c>
      <c r="AY291" s="21" t="n">
        <f aca="false">IF($A291="","",IF(N(AS291)&gt;0,N(AY290)+1,0))</f>
        <v>0</v>
      </c>
      <c r="AZ291" s="21" t="n">
        <f aca="false">IF($A291="","",IF(N(AT291)&gt;0,N(AZ290)+1,0))</f>
        <v>0</v>
      </c>
      <c r="BA291" s="21" t="str">
        <f aca="false">IF($A291="","",IF(WEEKDAY($A291,2)&lt;&gt;7,"",IF(AND(OR(AU291="",N(AU291)&gt;=$A291+16/24,N(AV291)&lt;=$A291+6/24),OR(AW291="",N(AW291)&lt;=$A291+6/24)),1,0)))</f>
        <v/>
      </c>
    </row>
    <row r="292" customFormat="false" ht="15" hidden="false" customHeight="false" outlineLevel="0" collapsed="false">
      <c r="A292" s="25" t="n">
        <f aca="false">IF(YEAR(DATE(Einstellungen!$C$4,1,1)+287)=Einstellungen!$C$4,DATE(Einstellungen!$C$4,1,1)+287,"")</f>
        <v>46675</v>
      </c>
      <c r="B292" s="26" t="str">
        <f aca="false">IF($A292="","",CHOOSE(WEEKDAY($A292,2),"Mo","Di","Mi","Do","Fr","Sa","So"))</f>
        <v>Fr</v>
      </c>
      <c r="C292" s="26" t="n">
        <f aca="false">IF($A292="","",MONTH($A292))</f>
        <v>10</v>
      </c>
      <c r="D292" s="26" t="str">
        <f aca="false">IF($A292="","",IF(INDEX(Muster!$C$6:$BF$6,1,MOD($A292-Einstellungen!$C$6,Einstellungen!$C$7)+1)="","-",INDEX(Muster!$C$6:$BF$6,1,MOD($A292-Einstellungen!$C$6,Einstellungen!$C$7)+1)))</f>
        <v>N</v>
      </c>
      <c r="E292" s="27" t="n">
        <f aca="false">IF($A292="","",IFERROR(VLOOKUP(D292,Schichten!$A$5:$G$24,6,FALSE()),0))</f>
        <v>8</v>
      </c>
      <c r="F292" s="27" t="n">
        <f aca="false">IF($A292="","",IFERROR(VLOOKUP(D292,Schichten!$A$5:$G$24,7,FALSE()),0))</f>
        <v>7</v>
      </c>
      <c r="G292" s="28" t="n">
        <f aca="false">IF($A292="","",IF(N(E292)=0,"",$A292+VLOOKUP(D292,Schichten!$A$5:$G$24,3,FALSE())))</f>
        <v>46675.9166666667</v>
      </c>
      <c r="H292" s="28" t="n">
        <f aca="false">IF(G292="","",$A292+VLOOKUP(D292,Schichten!$A$5:$G$24,4,FALSE())+IF(VLOOKUP(D292,Schichten!$A$5:$G$24,4,FALSE())&lt;=VLOOKUP(D292,Schichten!$A$5:$G$24,3,FALSE()),1,0))</f>
        <v>46676.25</v>
      </c>
      <c r="I292" s="28" t="n">
        <f aca="false">IF($A292="","",IF(N(E291)&gt;0,H291,I291))</f>
        <v>46674.9166666667</v>
      </c>
      <c r="J292" s="27" t="n">
        <f aca="false">IF(OR(G292="",I292=""),"",(G292-I292)*24)</f>
        <v>24</v>
      </c>
      <c r="K292" s="21" t="n">
        <f aca="false">IF($A292="","",IF(N(E292)&gt;0,N(K291)+1,0))</f>
        <v>5</v>
      </c>
      <c r="L292" s="21" t="n">
        <f aca="false">IF($A292="","",IF(N(F292)&gt;0,N(L291)+1,0))</f>
        <v>1</v>
      </c>
      <c r="M292" s="21" t="str">
        <f aca="false">IF($A292="","",IF(WEEKDAY($A292,2)&lt;&gt;7,"",IF(AND(OR(G292="",N(G292)&gt;=$A292+16/24,N(H292)&lt;=$A292+6/24),OR(I292="",N(I292)&lt;=$A292+6/24)),1,0)))</f>
        <v/>
      </c>
      <c r="N292" s="26" t="str">
        <f aca="false">IF($A292="","",IF(INDEX(Muster!$C$7:$BF$7,1,MOD($A292-Einstellungen!$C$6,Einstellungen!$C$7)+1)="","-",INDEX(Muster!$C$7:$BF$7,1,MOD($A292-Einstellungen!$C$6,Einstellungen!$C$7)+1)))</f>
        <v>S</v>
      </c>
      <c r="O292" s="27" t="n">
        <f aca="false">IF($A292="","",IFERROR(VLOOKUP(N292,Schichten!$A$5:$G$24,6,FALSE()),0))</f>
        <v>8</v>
      </c>
      <c r="P292" s="27" t="n">
        <f aca="false">IF($A292="","",IFERROR(VLOOKUP(N292,Schichten!$A$5:$G$24,7,FALSE()),0))</f>
        <v>0</v>
      </c>
      <c r="Q292" s="28" t="n">
        <f aca="false">IF($A292="","",IF(N(O292)=0,"",$A292+VLOOKUP(N292,Schichten!$A$5:$G$24,3,FALSE())))</f>
        <v>46675.5833333333</v>
      </c>
      <c r="R292" s="28" t="n">
        <f aca="false">IF(Q292="","",$A292+VLOOKUP(N292,Schichten!$A$5:$G$24,4,FALSE())+IF(VLOOKUP(N292,Schichten!$A$5:$G$24,4,FALSE())&lt;=VLOOKUP(N292,Schichten!$A$5:$G$24,3,FALSE()),1,0))</f>
        <v>46675.9166666667</v>
      </c>
      <c r="S292" s="28" t="n">
        <f aca="false">IF($A292="","",IF(N(O291)&gt;0,R291,S291))</f>
        <v>46674.5833333333</v>
      </c>
      <c r="T292" s="27" t="n">
        <f aca="false">IF(OR(Q292="",S292=""),"",(Q292-S292)*24)</f>
        <v>24</v>
      </c>
      <c r="U292" s="21" t="n">
        <f aca="false">IF($A292="","",IF(N(O292)&gt;0,N(U291)+1,0))</f>
        <v>3</v>
      </c>
      <c r="V292" s="21" t="n">
        <f aca="false">IF($A292="","",IF(N(P292)&gt;0,N(V291)+1,0))</f>
        <v>0</v>
      </c>
      <c r="W292" s="21" t="str">
        <f aca="false">IF($A292="","",IF(WEEKDAY($A292,2)&lt;&gt;7,"",IF(AND(OR(Q292="",N(Q292)&gt;=$A292+16/24,N(R292)&lt;=$A292+6/24),OR(S292="",N(S292)&lt;=$A292+6/24)),1,0)))</f>
        <v/>
      </c>
      <c r="X292" s="26" t="str">
        <f aca="false">IF($A292="","",IF(INDEX(Muster!$C$8:$BF$8,1,MOD($A292-Einstellungen!$C$6,Einstellungen!$C$7)+1)="","-",INDEX(Muster!$C$8:$BF$8,1,MOD($A292-Einstellungen!$C$6,Einstellungen!$C$7)+1)))</f>
        <v>F</v>
      </c>
      <c r="Y292" s="27" t="n">
        <f aca="false">IF($A292="","",IFERROR(VLOOKUP(X292,Schichten!$A$5:$G$24,6,FALSE()),0))</f>
        <v>8</v>
      </c>
      <c r="Z292" s="27" t="n">
        <f aca="false">IF($A292="","",IFERROR(VLOOKUP(X292,Schichten!$A$5:$G$24,7,FALSE()),0))</f>
        <v>0</v>
      </c>
      <c r="AA292" s="28" t="n">
        <f aca="false">IF($A292="","",IF(N(Y292)=0,"",$A292+VLOOKUP(X292,Schichten!$A$5:$G$24,3,FALSE())))</f>
        <v>46675.25</v>
      </c>
      <c r="AB292" s="28" t="n">
        <f aca="false">IF(AA292="","",$A292+VLOOKUP(X292,Schichten!$A$5:$G$24,4,FALSE())+IF(VLOOKUP(X292,Schichten!$A$5:$G$24,4,FALSE())&lt;=VLOOKUP(X292,Schichten!$A$5:$G$24,3,FALSE()),1,0))</f>
        <v>46675.5833333333</v>
      </c>
      <c r="AC292" s="28" t="n">
        <f aca="false">IF($A292="","",IF(N(Y291)&gt;0,AB291,AC291))</f>
        <v>46673.25</v>
      </c>
      <c r="AD292" s="27" t="n">
        <f aca="false">IF(OR(AA292="",AC292=""),"",(AA292-AC292)*24)</f>
        <v>48</v>
      </c>
      <c r="AE292" s="21" t="n">
        <f aca="false">IF($A292="","",IF(N(Y292)&gt;0,N(AE291)+1,0))</f>
        <v>1</v>
      </c>
      <c r="AF292" s="21" t="n">
        <f aca="false">IF($A292="","",IF(N(Z292)&gt;0,N(AF291)+1,0))</f>
        <v>0</v>
      </c>
      <c r="AG292" s="21" t="str">
        <f aca="false">IF($A292="","",IF(WEEKDAY($A292,2)&lt;&gt;7,"",IF(AND(OR(AA292="",N(AA292)&gt;=$A292+16/24,N(AB292)&lt;=$A292+6/24),OR(AC292="",N(AC292)&lt;=$A292+6/24)),1,0)))</f>
        <v/>
      </c>
      <c r="AH292" s="26" t="str">
        <f aca="false">IF($A292="","",IF(INDEX(Muster!$C$9:$BF$9,1,MOD($A292-Einstellungen!$C$6,Einstellungen!$C$7)+1)="","-",INDEX(Muster!$C$9:$BF$9,1,MOD($A292-Einstellungen!$C$6,Einstellungen!$C$7)+1)))</f>
        <v>-</v>
      </c>
      <c r="AI292" s="27" t="n">
        <f aca="false">IF($A292="","",IFERROR(VLOOKUP(AH292,Schichten!$A$5:$G$24,6,FALSE()),0))</f>
        <v>0</v>
      </c>
      <c r="AJ292" s="27" t="n">
        <f aca="false">IF($A292="","",IFERROR(VLOOKUP(AH292,Schichten!$A$5:$G$24,7,FALSE()),0))</f>
        <v>0</v>
      </c>
      <c r="AK292" s="28" t="str">
        <f aca="false">IF($A292="","",IF(N(AI292)=0,"",$A292+VLOOKUP(AH292,Schichten!$A$5:$G$24,3,FALSE())))</f>
        <v/>
      </c>
      <c r="AL292" s="28" t="str">
        <f aca="false">IF(AK292="","",$A292+VLOOKUP(AH292,Schichten!$A$5:$G$24,4,FALSE())+IF(VLOOKUP(AH292,Schichten!$A$5:$G$24,4,FALSE())&lt;=VLOOKUP(AH292,Schichten!$A$5:$G$24,3,FALSE()),1,0))</f>
        <v/>
      </c>
      <c r="AM292" s="28" t="n">
        <f aca="false">IF($A292="","",IF(N(AI291)&gt;0,AL291,AM291))</f>
        <v>46675.25</v>
      </c>
      <c r="AN292" s="27" t="str">
        <f aca="false">IF(OR(AK292="",AM292=""),"",(AK292-AM292)*24)</f>
        <v/>
      </c>
      <c r="AO292" s="21" t="n">
        <f aca="false">IF($A292="","",IF(N(AI292)&gt;0,N(AO291)+1,0))</f>
        <v>0</v>
      </c>
      <c r="AP292" s="21" t="n">
        <f aca="false">IF($A292="","",IF(N(AJ292)&gt;0,N(AP291)+1,0))</f>
        <v>0</v>
      </c>
      <c r="AQ292" s="21" t="str">
        <f aca="false">IF($A292="","",IF(WEEKDAY($A292,2)&lt;&gt;7,"",IF(AND(OR(AK292="",N(AK292)&gt;=$A292+16/24,N(AL292)&lt;=$A292+6/24),OR(AM292="",N(AM292)&lt;=$A292+6/24)),1,0)))</f>
        <v/>
      </c>
      <c r="AR292" s="26" t="str">
        <f aca="false">IF($A292="","",IF(INDEX(Muster!$C$10:$BF$10,1,MOD($A292-Einstellungen!$C$6,Einstellungen!$C$7)+1)="","-",INDEX(Muster!$C$10:$BF$10,1,MOD($A292-Einstellungen!$C$6,Einstellungen!$C$7)+1)))</f>
        <v>-</v>
      </c>
      <c r="AS292" s="27" t="n">
        <f aca="false">IF($A292="","",IFERROR(VLOOKUP(AR292,Schichten!$A$5:$G$24,6,FALSE()),0))</f>
        <v>0</v>
      </c>
      <c r="AT292" s="27" t="n">
        <f aca="false">IF($A292="","",IFERROR(VLOOKUP(AR292,Schichten!$A$5:$G$24,7,FALSE()),0))</f>
        <v>0</v>
      </c>
      <c r="AU292" s="28" t="str">
        <f aca="false">IF($A292="","",IF(N(AS292)=0,"",$A292+VLOOKUP(AR292,Schichten!$A$5:$G$24,3,FALSE())))</f>
        <v/>
      </c>
      <c r="AV292" s="28" t="str">
        <f aca="false">IF(AU292="","",$A292+VLOOKUP(AR292,Schichten!$A$5:$G$24,4,FALSE())+IF(VLOOKUP(AR292,Schichten!$A$5:$G$24,4,FALSE())&lt;=VLOOKUP(AR292,Schichten!$A$5:$G$24,3,FALSE()),1,0))</f>
        <v/>
      </c>
      <c r="AW292" s="28" t="str">
        <f aca="false">IF($A292="","",IF(N(AS291)&gt;0,AV291,AW291))</f>
        <v/>
      </c>
      <c r="AX292" s="27" t="str">
        <f aca="false">IF(OR(AU292="",AW292=""),"",(AU292-AW292)*24)</f>
        <v/>
      </c>
      <c r="AY292" s="21" t="n">
        <f aca="false">IF($A292="","",IF(N(AS292)&gt;0,N(AY291)+1,0))</f>
        <v>0</v>
      </c>
      <c r="AZ292" s="21" t="n">
        <f aca="false">IF($A292="","",IF(N(AT292)&gt;0,N(AZ291)+1,0))</f>
        <v>0</v>
      </c>
      <c r="BA292" s="21" t="str">
        <f aca="false">IF($A292="","",IF(WEEKDAY($A292,2)&lt;&gt;7,"",IF(AND(OR(AU292="",N(AU292)&gt;=$A292+16/24,N(AV292)&lt;=$A292+6/24),OR(AW292="",N(AW292)&lt;=$A292+6/24)),1,0)))</f>
        <v/>
      </c>
    </row>
    <row r="293" customFormat="false" ht="15" hidden="false" customHeight="false" outlineLevel="0" collapsed="false">
      <c r="A293" s="25" t="n">
        <f aca="false">IF(YEAR(DATE(Einstellungen!$C$4,1,1)+288)=Einstellungen!$C$4,DATE(Einstellungen!$C$4,1,1)+288,"")</f>
        <v>46676</v>
      </c>
      <c r="B293" s="26" t="str">
        <f aca="false">IF($A293="","",CHOOSE(WEEKDAY($A293,2),"Mo","Di","Mi","Do","Fr","Sa","So"))</f>
        <v>Sa</v>
      </c>
      <c r="C293" s="26" t="n">
        <f aca="false">IF($A293="","",MONTH($A293))</f>
        <v>10</v>
      </c>
      <c r="D293" s="26" t="str">
        <f aca="false">IF($A293="","",IF(INDEX(Muster!$C$6:$BF$6,1,MOD($A293-Einstellungen!$C$6,Einstellungen!$C$7)+1)="","-",INDEX(Muster!$C$6:$BF$6,1,MOD($A293-Einstellungen!$C$6,Einstellungen!$C$7)+1)))</f>
        <v>N</v>
      </c>
      <c r="E293" s="27" t="n">
        <f aca="false">IF($A293="","",IFERROR(VLOOKUP(D293,Schichten!$A$5:$G$24,6,FALSE()),0))</f>
        <v>8</v>
      </c>
      <c r="F293" s="27" t="n">
        <f aca="false">IF($A293="","",IFERROR(VLOOKUP(D293,Schichten!$A$5:$G$24,7,FALSE()),0))</f>
        <v>7</v>
      </c>
      <c r="G293" s="28" t="n">
        <f aca="false">IF($A293="","",IF(N(E293)=0,"",$A293+VLOOKUP(D293,Schichten!$A$5:$G$24,3,FALSE())))</f>
        <v>46676.9166666667</v>
      </c>
      <c r="H293" s="28" t="n">
        <f aca="false">IF(G293="","",$A293+VLOOKUP(D293,Schichten!$A$5:$G$24,4,FALSE())+IF(VLOOKUP(D293,Schichten!$A$5:$G$24,4,FALSE())&lt;=VLOOKUP(D293,Schichten!$A$5:$G$24,3,FALSE()),1,0))</f>
        <v>46677.25</v>
      </c>
      <c r="I293" s="28" t="n">
        <f aca="false">IF($A293="","",IF(N(E292)&gt;0,H292,I292))</f>
        <v>46676.25</v>
      </c>
      <c r="J293" s="27" t="n">
        <f aca="false">IF(OR(G293="",I293=""),"",(G293-I293)*24)</f>
        <v>16</v>
      </c>
      <c r="K293" s="21" t="n">
        <f aca="false">IF($A293="","",IF(N(E293)&gt;0,N(K292)+1,0))</f>
        <v>6</v>
      </c>
      <c r="L293" s="21" t="n">
        <f aca="false">IF($A293="","",IF(N(F293)&gt;0,N(L292)+1,0))</f>
        <v>2</v>
      </c>
      <c r="M293" s="21" t="str">
        <f aca="false">IF($A293="","",IF(WEEKDAY($A293,2)&lt;&gt;7,"",IF(AND(OR(G293="",N(G293)&gt;=$A293+16/24,N(H293)&lt;=$A293+6/24),OR(I293="",N(I293)&lt;=$A293+6/24)),1,0)))</f>
        <v/>
      </c>
      <c r="N293" s="26" t="str">
        <f aca="false">IF($A293="","",IF(INDEX(Muster!$C$7:$BF$7,1,MOD($A293-Einstellungen!$C$6,Einstellungen!$C$7)+1)="","-",INDEX(Muster!$C$7:$BF$7,1,MOD($A293-Einstellungen!$C$6,Einstellungen!$C$7)+1)))</f>
        <v>S</v>
      </c>
      <c r="O293" s="27" t="n">
        <f aca="false">IF($A293="","",IFERROR(VLOOKUP(N293,Schichten!$A$5:$G$24,6,FALSE()),0))</f>
        <v>8</v>
      </c>
      <c r="P293" s="27" t="n">
        <f aca="false">IF($A293="","",IFERROR(VLOOKUP(N293,Schichten!$A$5:$G$24,7,FALSE()),0))</f>
        <v>0</v>
      </c>
      <c r="Q293" s="28" t="n">
        <f aca="false">IF($A293="","",IF(N(O293)=0,"",$A293+VLOOKUP(N293,Schichten!$A$5:$G$24,3,FALSE())))</f>
        <v>46676.5833333333</v>
      </c>
      <c r="R293" s="28" t="n">
        <f aca="false">IF(Q293="","",$A293+VLOOKUP(N293,Schichten!$A$5:$G$24,4,FALSE())+IF(VLOOKUP(N293,Schichten!$A$5:$G$24,4,FALSE())&lt;=VLOOKUP(N293,Schichten!$A$5:$G$24,3,FALSE()),1,0))</f>
        <v>46676.9166666667</v>
      </c>
      <c r="S293" s="28" t="n">
        <f aca="false">IF($A293="","",IF(N(O292)&gt;0,R292,S292))</f>
        <v>46675.9166666667</v>
      </c>
      <c r="T293" s="27" t="n">
        <f aca="false">IF(OR(Q293="",S293=""),"",(Q293-S293)*24)</f>
        <v>16</v>
      </c>
      <c r="U293" s="21" t="n">
        <f aca="false">IF($A293="","",IF(N(O293)&gt;0,N(U292)+1,0))</f>
        <v>4</v>
      </c>
      <c r="V293" s="21" t="n">
        <f aca="false">IF($A293="","",IF(N(P293)&gt;0,N(V292)+1,0))</f>
        <v>0</v>
      </c>
      <c r="W293" s="21" t="str">
        <f aca="false">IF($A293="","",IF(WEEKDAY($A293,2)&lt;&gt;7,"",IF(AND(OR(Q293="",N(Q293)&gt;=$A293+16/24,N(R293)&lt;=$A293+6/24),OR(S293="",N(S293)&lt;=$A293+6/24)),1,0)))</f>
        <v/>
      </c>
      <c r="X293" s="26" t="str">
        <f aca="false">IF($A293="","",IF(INDEX(Muster!$C$8:$BF$8,1,MOD($A293-Einstellungen!$C$6,Einstellungen!$C$7)+1)="","-",INDEX(Muster!$C$8:$BF$8,1,MOD($A293-Einstellungen!$C$6,Einstellungen!$C$7)+1)))</f>
        <v>F</v>
      </c>
      <c r="Y293" s="27" t="n">
        <f aca="false">IF($A293="","",IFERROR(VLOOKUP(X293,Schichten!$A$5:$G$24,6,FALSE()),0))</f>
        <v>8</v>
      </c>
      <c r="Z293" s="27" t="n">
        <f aca="false">IF($A293="","",IFERROR(VLOOKUP(X293,Schichten!$A$5:$G$24,7,FALSE()),0))</f>
        <v>0</v>
      </c>
      <c r="AA293" s="28" t="n">
        <f aca="false">IF($A293="","",IF(N(Y293)=0,"",$A293+VLOOKUP(X293,Schichten!$A$5:$G$24,3,FALSE())))</f>
        <v>46676.25</v>
      </c>
      <c r="AB293" s="28" t="n">
        <f aca="false">IF(AA293="","",$A293+VLOOKUP(X293,Schichten!$A$5:$G$24,4,FALSE())+IF(VLOOKUP(X293,Schichten!$A$5:$G$24,4,FALSE())&lt;=VLOOKUP(X293,Schichten!$A$5:$G$24,3,FALSE()),1,0))</f>
        <v>46676.5833333333</v>
      </c>
      <c r="AC293" s="28" t="n">
        <f aca="false">IF($A293="","",IF(N(Y292)&gt;0,AB292,AC292))</f>
        <v>46675.5833333333</v>
      </c>
      <c r="AD293" s="27" t="n">
        <f aca="false">IF(OR(AA293="",AC293=""),"",(AA293-AC293)*24)</f>
        <v>16</v>
      </c>
      <c r="AE293" s="21" t="n">
        <f aca="false">IF($A293="","",IF(N(Y293)&gt;0,N(AE292)+1,0))</f>
        <v>2</v>
      </c>
      <c r="AF293" s="21" t="n">
        <f aca="false">IF($A293="","",IF(N(Z293)&gt;0,N(AF292)+1,0))</f>
        <v>0</v>
      </c>
      <c r="AG293" s="21" t="str">
        <f aca="false">IF($A293="","",IF(WEEKDAY($A293,2)&lt;&gt;7,"",IF(AND(OR(AA293="",N(AA293)&gt;=$A293+16/24,N(AB293)&lt;=$A293+6/24),OR(AC293="",N(AC293)&lt;=$A293+6/24)),1,0)))</f>
        <v/>
      </c>
      <c r="AH293" s="26" t="str">
        <f aca="false">IF($A293="","",IF(INDEX(Muster!$C$9:$BF$9,1,MOD($A293-Einstellungen!$C$6,Einstellungen!$C$7)+1)="","-",INDEX(Muster!$C$9:$BF$9,1,MOD($A293-Einstellungen!$C$6,Einstellungen!$C$7)+1)))</f>
        <v>-</v>
      </c>
      <c r="AI293" s="27" t="n">
        <f aca="false">IF($A293="","",IFERROR(VLOOKUP(AH293,Schichten!$A$5:$G$24,6,FALSE()),0))</f>
        <v>0</v>
      </c>
      <c r="AJ293" s="27" t="n">
        <f aca="false">IF($A293="","",IFERROR(VLOOKUP(AH293,Schichten!$A$5:$G$24,7,FALSE()),0))</f>
        <v>0</v>
      </c>
      <c r="AK293" s="28" t="str">
        <f aca="false">IF($A293="","",IF(N(AI293)=0,"",$A293+VLOOKUP(AH293,Schichten!$A$5:$G$24,3,FALSE())))</f>
        <v/>
      </c>
      <c r="AL293" s="28" t="str">
        <f aca="false">IF(AK293="","",$A293+VLOOKUP(AH293,Schichten!$A$5:$G$24,4,FALSE())+IF(VLOOKUP(AH293,Schichten!$A$5:$G$24,4,FALSE())&lt;=VLOOKUP(AH293,Schichten!$A$5:$G$24,3,FALSE()),1,0))</f>
        <v/>
      </c>
      <c r="AM293" s="28" t="n">
        <f aca="false">IF($A293="","",IF(N(AI292)&gt;0,AL292,AM292))</f>
        <v>46675.25</v>
      </c>
      <c r="AN293" s="27" t="str">
        <f aca="false">IF(OR(AK293="",AM293=""),"",(AK293-AM293)*24)</f>
        <v/>
      </c>
      <c r="AO293" s="21" t="n">
        <f aca="false">IF($A293="","",IF(N(AI293)&gt;0,N(AO292)+1,0))</f>
        <v>0</v>
      </c>
      <c r="AP293" s="21" t="n">
        <f aca="false">IF($A293="","",IF(N(AJ293)&gt;0,N(AP292)+1,0))</f>
        <v>0</v>
      </c>
      <c r="AQ293" s="21" t="str">
        <f aca="false">IF($A293="","",IF(WEEKDAY($A293,2)&lt;&gt;7,"",IF(AND(OR(AK293="",N(AK293)&gt;=$A293+16/24,N(AL293)&lt;=$A293+6/24),OR(AM293="",N(AM293)&lt;=$A293+6/24)),1,0)))</f>
        <v/>
      </c>
      <c r="AR293" s="26" t="str">
        <f aca="false">IF($A293="","",IF(INDEX(Muster!$C$10:$BF$10,1,MOD($A293-Einstellungen!$C$6,Einstellungen!$C$7)+1)="","-",INDEX(Muster!$C$10:$BF$10,1,MOD($A293-Einstellungen!$C$6,Einstellungen!$C$7)+1)))</f>
        <v>-</v>
      </c>
      <c r="AS293" s="27" t="n">
        <f aca="false">IF($A293="","",IFERROR(VLOOKUP(AR293,Schichten!$A$5:$G$24,6,FALSE()),0))</f>
        <v>0</v>
      </c>
      <c r="AT293" s="27" t="n">
        <f aca="false">IF($A293="","",IFERROR(VLOOKUP(AR293,Schichten!$A$5:$G$24,7,FALSE()),0))</f>
        <v>0</v>
      </c>
      <c r="AU293" s="28" t="str">
        <f aca="false">IF($A293="","",IF(N(AS293)=0,"",$A293+VLOOKUP(AR293,Schichten!$A$5:$G$24,3,FALSE())))</f>
        <v/>
      </c>
      <c r="AV293" s="28" t="str">
        <f aca="false">IF(AU293="","",$A293+VLOOKUP(AR293,Schichten!$A$5:$G$24,4,FALSE())+IF(VLOOKUP(AR293,Schichten!$A$5:$G$24,4,FALSE())&lt;=VLOOKUP(AR293,Schichten!$A$5:$G$24,3,FALSE()),1,0))</f>
        <v/>
      </c>
      <c r="AW293" s="28" t="str">
        <f aca="false">IF($A293="","",IF(N(AS292)&gt;0,AV292,AW292))</f>
        <v/>
      </c>
      <c r="AX293" s="27" t="str">
        <f aca="false">IF(OR(AU293="",AW293=""),"",(AU293-AW293)*24)</f>
        <v/>
      </c>
      <c r="AY293" s="21" t="n">
        <f aca="false">IF($A293="","",IF(N(AS293)&gt;0,N(AY292)+1,0))</f>
        <v>0</v>
      </c>
      <c r="AZ293" s="21" t="n">
        <f aca="false">IF($A293="","",IF(N(AT293)&gt;0,N(AZ292)+1,0))</f>
        <v>0</v>
      </c>
      <c r="BA293" s="21" t="str">
        <f aca="false">IF($A293="","",IF(WEEKDAY($A293,2)&lt;&gt;7,"",IF(AND(OR(AU293="",N(AU293)&gt;=$A293+16/24,N(AV293)&lt;=$A293+6/24),OR(AW293="",N(AW293)&lt;=$A293+6/24)),1,0)))</f>
        <v/>
      </c>
    </row>
    <row r="294" customFormat="false" ht="15" hidden="false" customHeight="false" outlineLevel="0" collapsed="false">
      <c r="A294" s="25" t="n">
        <f aca="false">IF(YEAR(DATE(Einstellungen!$C$4,1,1)+289)=Einstellungen!$C$4,DATE(Einstellungen!$C$4,1,1)+289,"")</f>
        <v>46677</v>
      </c>
      <c r="B294" s="26" t="str">
        <f aca="false">IF($A294="","",CHOOSE(WEEKDAY($A294,2),"Mo","Di","Mi","Do","Fr","Sa","So"))</f>
        <v>So</v>
      </c>
      <c r="C294" s="26" t="n">
        <f aca="false">IF($A294="","",MONTH($A294))</f>
        <v>10</v>
      </c>
      <c r="D294" s="26" t="str">
        <f aca="false">IF($A294="","",IF(INDEX(Muster!$C$6:$BF$6,1,MOD($A294-Einstellungen!$C$6,Einstellungen!$C$7)+1)="","-",INDEX(Muster!$C$6:$BF$6,1,MOD($A294-Einstellungen!$C$6,Einstellungen!$C$7)+1)))</f>
        <v>-</v>
      </c>
      <c r="E294" s="27" t="n">
        <f aca="false">IF($A294="","",IFERROR(VLOOKUP(D294,Schichten!$A$5:$G$24,6,FALSE()),0))</f>
        <v>0</v>
      </c>
      <c r="F294" s="27" t="n">
        <f aca="false">IF($A294="","",IFERROR(VLOOKUP(D294,Schichten!$A$5:$G$24,7,FALSE()),0))</f>
        <v>0</v>
      </c>
      <c r="G294" s="28" t="str">
        <f aca="false">IF($A294="","",IF(N(E294)=0,"",$A294+VLOOKUP(D294,Schichten!$A$5:$G$24,3,FALSE())))</f>
        <v/>
      </c>
      <c r="H294" s="28" t="str">
        <f aca="false">IF(G294="","",$A294+VLOOKUP(D294,Schichten!$A$5:$G$24,4,FALSE())+IF(VLOOKUP(D294,Schichten!$A$5:$G$24,4,FALSE())&lt;=VLOOKUP(D294,Schichten!$A$5:$G$24,3,FALSE()),1,0))</f>
        <v/>
      </c>
      <c r="I294" s="28" t="n">
        <f aca="false">IF($A294="","",IF(N(E293)&gt;0,H293,I293))</f>
        <v>46677.25</v>
      </c>
      <c r="J294" s="27" t="str">
        <f aca="false">IF(OR(G294="",I294=""),"",(G294-I294)*24)</f>
        <v/>
      </c>
      <c r="K294" s="21" t="n">
        <f aca="false">IF($A294="","",IF(N(E294)&gt;0,N(K293)+1,0))</f>
        <v>0</v>
      </c>
      <c r="L294" s="21" t="n">
        <f aca="false">IF($A294="","",IF(N(F294)&gt;0,N(L293)+1,0))</f>
        <v>0</v>
      </c>
      <c r="M294" s="21" t="n">
        <f aca="false">IF($A294="","",IF(WEEKDAY($A294,2)&lt;&gt;7,"",IF(AND(OR(G294="",N(G294)&gt;=$A294+16/24,N(H294)&lt;=$A294+6/24),OR(I294="",N(I294)&lt;=$A294+6/24)),1,0)))</f>
        <v>1</v>
      </c>
      <c r="N294" s="26" t="str">
        <f aca="false">IF($A294="","",IF(INDEX(Muster!$C$7:$BF$7,1,MOD($A294-Einstellungen!$C$6,Einstellungen!$C$7)+1)="","-",INDEX(Muster!$C$7:$BF$7,1,MOD($A294-Einstellungen!$C$6,Einstellungen!$C$7)+1)))</f>
        <v>N</v>
      </c>
      <c r="O294" s="27" t="n">
        <f aca="false">IF($A294="","",IFERROR(VLOOKUP(N294,Schichten!$A$5:$G$24,6,FALSE()),0))</f>
        <v>8</v>
      </c>
      <c r="P294" s="27" t="n">
        <f aca="false">IF($A294="","",IFERROR(VLOOKUP(N294,Schichten!$A$5:$G$24,7,FALSE()),0))</f>
        <v>7</v>
      </c>
      <c r="Q294" s="28" t="n">
        <f aca="false">IF($A294="","",IF(N(O294)=0,"",$A294+VLOOKUP(N294,Schichten!$A$5:$G$24,3,FALSE())))</f>
        <v>46677.9166666667</v>
      </c>
      <c r="R294" s="28" t="n">
        <f aca="false">IF(Q294="","",$A294+VLOOKUP(N294,Schichten!$A$5:$G$24,4,FALSE())+IF(VLOOKUP(N294,Schichten!$A$5:$G$24,4,FALSE())&lt;=VLOOKUP(N294,Schichten!$A$5:$G$24,3,FALSE()),1,0))</f>
        <v>46678.25</v>
      </c>
      <c r="S294" s="28" t="n">
        <f aca="false">IF($A294="","",IF(N(O293)&gt;0,R293,S293))</f>
        <v>46676.9166666667</v>
      </c>
      <c r="T294" s="27" t="n">
        <f aca="false">IF(OR(Q294="",S294=""),"",(Q294-S294)*24)</f>
        <v>24</v>
      </c>
      <c r="U294" s="21" t="n">
        <f aca="false">IF($A294="","",IF(N(O294)&gt;0,N(U293)+1,0))</f>
        <v>5</v>
      </c>
      <c r="V294" s="21" t="n">
        <f aca="false">IF($A294="","",IF(N(P294)&gt;0,N(V293)+1,0))</f>
        <v>1</v>
      </c>
      <c r="W294" s="21" t="n">
        <f aca="false">IF($A294="","",IF(WEEKDAY($A294,2)&lt;&gt;7,"",IF(AND(OR(Q294="",N(Q294)&gt;=$A294+16/24,N(R294)&lt;=$A294+6/24),OR(S294="",N(S294)&lt;=$A294+6/24)),1,0)))</f>
        <v>1</v>
      </c>
      <c r="X294" s="26" t="str">
        <f aca="false">IF($A294="","",IF(INDEX(Muster!$C$8:$BF$8,1,MOD($A294-Einstellungen!$C$6,Einstellungen!$C$7)+1)="","-",INDEX(Muster!$C$8:$BF$8,1,MOD($A294-Einstellungen!$C$6,Einstellungen!$C$7)+1)))</f>
        <v>S</v>
      </c>
      <c r="Y294" s="27" t="n">
        <f aca="false">IF($A294="","",IFERROR(VLOOKUP(X294,Schichten!$A$5:$G$24,6,FALSE()),0))</f>
        <v>8</v>
      </c>
      <c r="Z294" s="27" t="n">
        <f aca="false">IF($A294="","",IFERROR(VLOOKUP(X294,Schichten!$A$5:$G$24,7,FALSE()),0))</f>
        <v>0</v>
      </c>
      <c r="AA294" s="28" t="n">
        <f aca="false">IF($A294="","",IF(N(Y294)=0,"",$A294+VLOOKUP(X294,Schichten!$A$5:$G$24,3,FALSE())))</f>
        <v>46677.5833333333</v>
      </c>
      <c r="AB294" s="28" t="n">
        <f aca="false">IF(AA294="","",$A294+VLOOKUP(X294,Schichten!$A$5:$G$24,4,FALSE())+IF(VLOOKUP(X294,Schichten!$A$5:$G$24,4,FALSE())&lt;=VLOOKUP(X294,Schichten!$A$5:$G$24,3,FALSE()),1,0))</f>
        <v>46677.9166666667</v>
      </c>
      <c r="AC294" s="28" t="n">
        <f aca="false">IF($A294="","",IF(N(Y293)&gt;0,AB293,AC293))</f>
        <v>46676.5833333333</v>
      </c>
      <c r="AD294" s="27" t="n">
        <f aca="false">IF(OR(AA294="",AC294=""),"",(AA294-AC294)*24)</f>
        <v>24</v>
      </c>
      <c r="AE294" s="21" t="n">
        <f aca="false">IF($A294="","",IF(N(Y294)&gt;0,N(AE293)+1,0))</f>
        <v>3</v>
      </c>
      <c r="AF294" s="21" t="n">
        <f aca="false">IF($A294="","",IF(N(Z294)&gt;0,N(AF293)+1,0))</f>
        <v>0</v>
      </c>
      <c r="AG294" s="21" t="n">
        <f aca="false">IF($A294="","",IF(WEEKDAY($A294,2)&lt;&gt;7,"",IF(AND(OR(AA294="",N(AA294)&gt;=$A294+16/24,N(AB294)&lt;=$A294+6/24),OR(AC294="",N(AC294)&lt;=$A294+6/24)),1,0)))</f>
        <v>0</v>
      </c>
      <c r="AH294" s="26" t="str">
        <f aca="false">IF($A294="","",IF(INDEX(Muster!$C$9:$BF$9,1,MOD($A294-Einstellungen!$C$6,Einstellungen!$C$7)+1)="","-",INDEX(Muster!$C$9:$BF$9,1,MOD($A294-Einstellungen!$C$6,Einstellungen!$C$7)+1)))</f>
        <v>F</v>
      </c>
      <c r="AI294" s="27" t="n">
        <f aca="false">IF($A294="","",IFERROR(VLOOKUP(AH294,Schichten!$A$5:$G$24,6,FALSE()),0))</f>
        <v>8</v>
      </c>
      <c r="AJ294" s="27" t="n">
        <f aca="false">IF($A294="","",IFERROR(VLOOKUP(AH294,Schichten!$A$5:$G$24,7,FALSE()),0))</f>
        <v>0</v>
      </c>
      <c r="AK294" s="28" t="n">
        <f aca="false">IF($A294="","",IF(N(AI294)=0,"",$A294+VLOOKUP(AH294,Schichten!$A$5:$G$24,3,FALSE())))</f>
        <v>46677.25</v>
      </c>
      <c r="AL294" s="28" t="n">
        <f aca="false">IF(AK294="","",$A294+VLOOKUP(AH294,Schichten!$A$5:$G$24,4,FALSE())+IF(VLOOKUP(AH294,Schichten!$A$5:$G$24,4,FALSE())&lt;=VLOOKUP(AH294,Schichten!$A$5:$G$24,3,FALSE()),1,0))</f>
        <v>46677.5833333333</v>
      </c>
      <c r="AM294" s="28" t="n">
        <f aca="false">IF($A294="","",IF(N(AI293)&gt;0,AL293,AM293))</f>
        <v>46675.25</v>
      </c>
      <c r="AN294" s="27" t="n">
        <f aca="false">IF(OR(AK294="",AM294=""),"",(AK294-AM294)*24)</f>
        <v>48</v>
      </c>
      <c r="AO294" s="21" t="n">
        <f aca="false">IF($A294="","",IF(N(AI294)&gt;0,N(AO293)+1,0))</f>
        <v>1</v>
      </c>
      <c r="AP294" s="21" t="n">
        <f aca="false">IF($A294="","",IF(N(AJ294)&gt;0,N(AP293)+1,0))</f>
        <v>0</v>
      </c>
      <c r="AQ294" s="21" t="n">
        <f aca="false">IF($A294="","",IF(WEEKDAY($A294,2)&lt;&gt;7,"",IF(AND(OR(AK294="",N(AK294)&gt;=$A294+16/24,N(AL294)&lt;=$A294+6/24),OR(AM294="",N(AM294)&lt;=$A294+6/24)),1,0)))</f>
        <v>0</v>
      </c>
      <c r="AR294" s="26" t="str">
        <f aca="false">IF($A294="","",IF(INDEX(Muster!$C$10:$BF$10,1,MOD($A294-Einstellungen!$C$6,Einstellungen!$C$7)+1)="","-",INDEX(Muster!$C$10:$BF$10,1,MOD($A294-Einstellungen!$C$6,Einstellungen!$C$7)+1)))</f>
        <v>-</v>
      </c>
      <c r="AS294" s="27" t="n">
        <f aca="false">IF($A294="","",IFERROR(VLOOKUP(AR294,Schichten!$A$5:$G$24,6,FALSE()),0))</f>
        <v>0</v>
      </c>
      <c r="AT294" s="27" t="n">
        <f aca="false">IF($A294="","",IFERROR(VLOOKUP(AR294,Schichten!$A$5:$G$24,7,FALSE()),0))</f>
        <v>0</v>
      </c>
      <c r="AU294" s="28" t="str">
        <f aca="false">IF($A294="","",IF(N(AS294)=0,"",$A294+VLOOKUP(AR294,Schichten!$A$5:$G$24,3,FALSE())))</f>
        <v/>
      </c>
      <c r="AV294" s="28" t="str">
        <f aca="false">IF(AU294="","",$A294+VLOOKUP(AR294,Schichten!$A$5:$G$24,4,FALSE())+IF(VLOOKUP(AR294,Schichten!$A$5:$G$24,4,FALSE())&lt;=VLOOKUP(AR294,Schichten!$A$5:$G$24,3,FALSE()),1,0))</f>
        <v/>
      </c>
      <c r="AW294" s="28" t="str">
        <f aca="false">IF($A294="","",IF(N(AS293)&gt;0,AV293,AW293))</f>
        <v/>
      </c>
      <c r="AX294" s="27" t="str">
        <f aca="false">IF(OR(AU294="",AW294=""),"",(AU294-AW294)*24)</f>
        <v/>
      </c>
      <c r="AY294" s="21" t="n">
        <f aca="false">IF($A294="","",IF(N(AS294)&gt;0,N(AY293)+1,0))</f>
        <v>0</v>
      </c>
      <c r="AZ294" s="21" t="n">
        <f aca="false">IF($A294="","",IF(N(AT294)&gt;0,N(AZ293)+1,0))</f>
        <v>0</v>
      </c>
      <c r="BA294" s="21" t="n">
        <f aca="false">IF($A294="","",IF(WEEKDAY($A294,2)&lt;&gt;7,"",IF(AND(OR(AU294="",N(AU294)&gt;=$A294+16/24,N(AV294)&lt;=$A294+6/24),OR(AW294="",N(AW294)&lt;=$A294+6/24)),1,0)))</f>
        <v>1</v>
      </c>
    </row>
    <row r="295" customFormat="false" ht="15" hidden="false" customHeight="false" outlineLevel="0" collapsed="false">
      <c r="A295" s="25" t="n">
        <f aca="false">IF(YEAR(DATE(Einstellungen!$C$4,1,1)+290)=Einstellungen!$C$4,DATE(Einstellungen!$C$4,1,1)+290,"")</f>
        <v>46678</v>
      </c>
      <c r="B295" s="26" t="str">
        <f aca="false">IF($A295="","",CHOOSE(WEEKDAY($A295,2),"Mo","Di","Mi","Do","Fr","Sa","So"))</f>
        <v>Mo</v>
      </c>
      <c r="C295" s="26" t="n">
        <f aca="false">IF($A295="","",MONTH($A295))</f>
        <v>10</v>
      </c>
      <c r="D295" s="26" t="str">
        <f aca="false">IF($A295="","",IF(INDEX(Muster!$C$6:$BF$6,1,MOD($A295-Einstellungen!$C$6,Einstellungen!$C$7)+1)="","-",INDEX(Muster!$C$6:$BF$6,1,MOD($A295-Einstellungen!$C$6,Einstellungen!$C$7)+1)))</f>
        <v>-</v>
      </c>
      <c r="E295" s="27" t="n">
        <f aca="false">IF($A295="","",IFERROR(VLOOKUP(D295,Schichten!$A$5:$G$24,6,FALSE()),0))</f>
        <v>0</v>
      </c>
      <c r="F295" s="27" t="n">
        <f aca="false">IF($A295="","",IFERROR(VLOOKUP(D295,Schichten!$A$5:$G$24,7,FALSE()),0))</f>
        <v>0</v>
      </c>
      <c r="G295" s="28" t="str">
        <f aca="false">IF($A295="","",IF(N(E295)=0,"",$A295+VLOOKUP(D295,Schichten!$A$5:$G$24,3,FALSE())))</f>
        <v/>
      </c>
      <c r="H295" s="28" t="str">
        <f aca="false">IF(G295="","",$A295+VLOOKUP(D295,Schichten!$A$5:$G$24,4,FALSE())+IF(VLOOKUP(D295,Schichten!$A$5:$G$24,4,FALSE())&lt;=VLOOKUP(D295,Schichten!$A$5:$G$24,3,FALSE()),1,0))</f>
        <v/>
      </c>
      <c r="I295" s="28" t="n">
        <f aca="false">IF($A295="","",IF(N(E294)&gt;0,H294,I294))</f>
        <v>46677.25</v>
      </c>
      <c r="J295" s="27" t="str">
        <f aca="false">IF(OR(G295="",I295=""),"",(G295-I295)*24)</f>
        <v/>
      </c>
      <c r="K295" s="21" t="n">
        <f aca="false">IF($A295="","",IF(N(E295)&gt;0,N(K294)+1,0))</f>
        <v>0</v>
      </c>
      <c r="L295" s="21" t="n">
        <f aca="false">IF($A295="","",IF(N(F295)&gt;0,N(L294)+1,0))</f>
        <v>0</v>
      </c>
      <c r="M295" s="21" t="str">
        <f aca="false">IF($A295="","",IF(WEEKDAY($A295,2)&lt;&gt;7,"",IF(AND(OR(G295="",N(G295)&gt;=$A295+16/24,N(H295)&lt;=$A295+6/24),OR(I295="",N(I295)&lt;=$A295+6/24)),1,0)))</f>
        <v/>
      </c>
      <c r="N295" s="26" t="str">
        <f aca="false">IF($A295="","",IF(INDEX(Muster!$C$7:$BF$7,1,MOD($A295-Einstellungen!$C$6,Einstellungen!$C$7)+1)="","-",INDEX(Muster!$C$7:$BF$7,1,MOD($A295-Einstellungen!$C$6,Einstellungen!$C$7)+1)))</f>
        <v>N</v>
      </c>
      <c r="O295" s="27" t="n">
        <f aca="false">IF($A295="","",IFERROR(VLOOKUP(N295,Schichten!$A$5:$G$24,6,FALSE()),0))</f>
        <v>8</v>
      </c>
      <c r="P295" s="27" t="n">
        <f aca="false">IF($A295="","",IFERROR(VLOOKUP(N295,Schichten!$A$5:$G$24,7,FALSE()),0))</f>
        <v>7</v>
      </c>
      <c r="Q295" s="28" t="n">
        <f aca="false">IF($A295="","",IF(N(O295)=0,"",$A295+VLOOKUP(N295,Schichten!$A$5:$G$24,3,FALSE())))</f>
        <v>46678.9166666667</v>
      </c>
      <c r="R295" s="28" t="n">
        <f aca="false">IF(Q295="","",$A295+VLOOKUP(N295,Schichten!$A$5:$G$24,4,FALSE())+IF(VLOOKUP(N295,Schichten!$A$5:$G$24,4,FALSE())&lt;=VLOOKUP(N295,Schichten!$A$5:$G$24,3,FALSE()),1,0))</f>
        <v>46679.25</v>
      </c>
      <c r="S295" s="28" t="n">
        <f aca="false">IF($A295="","",IF(N(O294)&gt;0,R294,S294))</f>
        <v>46678.25</v>
      </c>
      <c r="T295" s="27" t="n">
        <f aca="false">IF(OR(Q295="",S295=""),"",(Q295-S295)*24)</f>
        <v>16</v>
      </c>
      <c r="U295" s="21" t="n">
        <f aca="false">IF($A295="","",IF(N(O295)&gt;0,N(U294)+1,0))</f>
        <v>6</v>
      </c>
      <c r="V295" s="21" t="n">
        <f aca="false">IF($A295="","",IF(N(P295)&gt;0,N(V294)+1,0))</f>
        <v>2</v>
      </c>
      <c r="W295" s="21" t="str">
        <f aca="false">IF($A295="","",IF(WEEKDAY($A295,2)&lt;&gt;7,"",IF(AND(OR(Q295="",N(Q295)&gt;=$A295+16/24,N(R295)&lt;=$A295+6/24),OR(S295="",N(S295)&lt;=$A295+6/24)),1,0)))</f>
        <v/>
      </c>
      <c r="X295" s="26" t="str">
        <f aca="false">IF($A295="","",IF(INDEX(Muster!$C$8:$BF$8,1,MOD($A295-Einstellungen!$C$6,Einstellungen!$C$7)+1)="","-",INDEX(Muster!$C$8:$BF$8,1,MOD($A295-Einstellungen!$C$6,Einstellungen!$C$7)+1)))</f>
        <v>S</v>
      </c>
      <c r="Y295" s="27" t="n">
        <f aca="false">IF($A295="","",IFERROR(VLOOKUP(X295,Schichten!$A$5:$G$24,6,FALSE()),0))</f>
        <v>8</v>
      </c>
      <c r="Z295" s="27" t="n">
        <f aca="false">IF($A295="","",IFERROR(VLOOKUP(X295,Schichten!$A$5:$G$24,7,FALSE()),0))</f>
        <v>0</v>
      </c>
      <c r="AA295" s="28" t="n">
        <f aca="false">IF($A295="","",IF(N(Y295)=0,"",$A295+VLOOKUP(X295,Schichten!$A$5:$G$24,3,FALSE())))</f>
        <v>46678.5833333333</v>
      </c>
      <c r="AB295" s="28" t="n">
        <f aca="false">IF(AA295="","",$A295+VLOOKUP(X295,Schichten!$A$5:$G$24,4,FALSE())+IF(VLOOKUP(X295,Schichten!$A$5:$G$24,4,FALSE())&lt;=VLOOKUP(X295,Schichten!$A$5:$G$24,3,FALSE()),1,0))</f>
        <v>46678.9166666667</v>
      </c>
      <c r="AC295" s="28" t="n">
        <f aca="false">IF($A295="","",IF(N(Y294)&gt;0,AB294,AC294))</f>
        <v>46677.9166666667</v>
      </c>
      <c r="AD295" s="27" t="n">
        <f aca="false">IF(OR(AA295="",AC295=""),"",(AA295-AC295)*24)</f>
        <v>16</v>
      </c>
      <c r="AE295" s="21" t="n">
        <f aca="false">IF($A295="","",IF(N(Y295)&gt;0,N(AE294)+1,0))</f>
        <v>4</v>
      </c>
      <c r="AF295" s="21" t="n">
        <f aca="false">IF($A295="","",IF(N(Z295)&gt;0,N(AF294)+1,0))</f>
        <v>0</v>
      </c>
      <c r="AG295" s="21" t="str">
        <f aca="false">IF($A295="","",IF(WEEKDAY($A295,2)&lt;&gt;7,"",IF(AND(OR(AA295="",N(AA295)&gt;=$A295+16/24,N(AB295)&lt;=$A295+6/24),OR(AC295="",N(AC295)&lt;=$A295+6/24)),1,0)))</f>
        <v/>
      </c>
      <c r="AH295" s="26" t="str">
        <f aca="false">IF($A295="","",IF(INDEX(Muster!$C$9:$BF$9,1,MOD($A295-Einstellungen!$C$6,Einstellungen!$C$7)+1)="","-",INDEX(Muster!$C$9:$BF$9,1,MOD($A295-Einstellungen!$C$6,Einstellungen!$C$7)+1)))</f>
        <v>F</v>
      </c>
      <c r="AI295" s="27" t="n">
        <f aca="false">IF($A295="","",IFERROR(VLOOKUP(AH295,Schichten!$A$5:$G$24,6,FALSE()),0))</f>
        <v>8</v>
      </c>
      <c r="AJ295" s="27" t="n">
        <f aca="false">IF($A295="","",IFERROR(VLOOKUP(AH295,Schichten!$A$5:$G$24,7,FALSE()),0))</f>
        <v>0</v>
      </c>
      <c r="AK295" s="28" t="n">
        <f aca="false">IF($A295="","",IF(N(AI295)=0,"",$A295+VLOOKUP(AH295,Schichten!$A$5:$G$24,3,FALSE())))</f>
        <v>46678.25</v>
      </c>
      <c r="AL295" s="28" t="n">
        <f aca="false">IF(AK295="","",$A295+VLOOKUP(AH295,Schichten!$A$5:$G$24,4,FALSE())+IF(VLOOKUP(AH295,Schichten!$A$5:$G$24,4,FALSE())&lt;=VLOOKUP(AH295,Schichten!$A$5:$G$24,3,FALSE()),1,0))</f>
        <v>46678.5833333333</v>
      </c>
      <c r="AM295" s="28" t="n">
        <f aca="false">IF($A295="","",IF(N(AI294)&gt;0,AL294,AM294))</f>
        <v>46677.5833333333</v>
      </c>
      <c r="AN295" s="27" t="n">
        <f aca="false">IF(OR(AK295="",AM295=""),"",(AK295-AM295)*24)</f>
        <v>16</v>
      </c>
      <c r="AO295" s="21" t="n">
        <f aca="false">IF($A295="","",IF(N(AI295)&gt;0,N(AO294)+1,0))</f>
        <v>2</v>
      </c>
      <c r="AP295" s="21" t="n">
        <f aca="false">IF($A295="","",IF(N(AJ295)&gt;0,N(AP294)+1,0))</f>
        <v>0</v>
      </c>
      <c r="AQ295" s="21" t="str">
        <f aca="false">IF($A295="","",IF(WEEKDAY($A295,2)&lt;&gt;7,"",IF(AND(OR(AK295="",N(AK295)&gt;=$A295+16/24,N(AL295)&lt;=$A295+6/24),OR(AM295="",N(AM295)&lt;=$A295+6/24)),1,0)))</f>
        <v/>
      </c>
      <c r="AR295" s="26" t="str">
        <f aca="false">IF($A295="","",IF(INDEX(Muster!$C$10:$BF$10,1,MOD($A295-Einstellungen!$C$6,Einstellungen!$C$7)+1)="","-",INDEX(Muster!$C$10:$BF$10,1,MOD($A295-Einstellungen!$C$6,Einstellungen!$C$7)+1)))</f>
        <v>-</v>
      </c>
      <c r="AS295" s="27" t="n">
        <f aca="false">IF($A295="","",IFERROR(VLOOKUP(AR295,Schichten!$A$5:$G$24,6,FALSE()),0))</f>
        <v>0</v>
      </c>
      <c r="AT295" s="27" t="n">
        <f aca="false">IF($A295="","",IFERROR(VLOOKUP(AR295,Schichten!$A$5:$G$24,7,FALSE()),0))</f>
        <v>0</v>
      </c>
      <c r="AU295" s="28" t="str">
        <f aca="false">IF($A295="","",IF(N(AS295)=0,"",$A295+VLOOKUP(AR295,Schichten!$A$5:$G$24,3,FALSE())))</f>
        <v/>
      </c>
      <c r="AV295" s="28" t="str">
        <f aca="false">IF(AU295="","",$A295+VLOOKUP(AR295,Schichten!$A$5:$G$24,4,FALSE())+IF(VLOOKUP(AR295,Schichten!$A$5:$G$24,4,FALSE())&lt;=VLOOKUP(AR295,Schichten!$A$5:$G$24,3,FALSE()),1,0))</f>
        <v/>
      </c>
      <c r="AW295" s="28" t="str">
        <f aca="false">IF($A295="","",IF(N(AS294)&gt;0,AV294,AW294))</f>
        <v/>
      </c>
      <c r="AX295" s="27" t="str">
        <f aca="false">IF(OR(AU295="",AW295=""),"",(AU295-AW295)*24)</f>
        <v/>
      </c>
      <c r="AY295" s="21" t="n">
        <f aca="false">IF($A295="","",IF(N(AS295)&gt;0,N(AY294)+1,0))</f>
        <v>0</v>
      </c>
      <c r="AZ295" s="21" t="n">
        <f aca="false">IF($A295="","",IF(N(AT295)&gt;0,N(AZ294)+1,0))</f>
        <v>0</v>
      </c>
      <c r="BA295" s="21" t="str">
        <f aca="false">IF($A295="","",IF(WEEKDAY($A295,2)&lt;&gt;7,"",IF(AND(OR(AU295="",N(AU295)&gt;=$A295+16/24,N(AV295)&lt;=$A295+6/24),OR(AW295="",N(AW295)&lt;=$A295+6/24)),1,0)))</f>
        <v/>
      </c>
    </row>
    <row r="296" customFormat="false" ht="15" hidden="false" customHeight="false" outlineLevel="0" collapsed="false">
      <c r="A296" s="25" t="n">
        <f aca="false">IF(YEAR(DATE(Einstellungen!$C$4,1,1)+291)=Einstellungen!$C$4,DATE(Einstellungen!$C$4,1,1)+291,"")</f>
        <v>46679</v>
      </c>
      <c r="B296" s="26" t="str">
        <f aca="false">IF($A296="","",CHOOSE(WEEKDAY($A296,2),"Mo","Di","Mi","Do","Fr","Sa","So"))</f>
        <v>Di</v>
      </c>
      <c r="C296" s="26" t="n">
        <f aca="false">IF($A296="","",MONTH($A296))</f>
        <v>10</v>
      </c>
      <c r="D296" s="26" t="str">
        <f aca="false">IF($A296="","",IF(INDEX(Muster!$C$6:$BF$6,1,MOD($A296-Einstellungen!$C$6,Einstellungen!$C$7)+1)="","-",INDEX(Muster!$C$6:$BF$6,1,MOD($A296-Einstellungen!$C$6,Einstellungen!$C$7)+1)))</f>
        <v>F</v>
      </c>
      <c r="E296" s="27" t="n">
        <f aca="false">IF($A296="","",IFERROR(VLOOKUP(D296,Schichten!$A$5:$G$24,6,FALSE()),0))</f>
        <v>8</v>
      </c>
      <c r="F296" s="27" t="n">
        <f aca="false">IF($A296="","",IFERROR(VLOOKUP(D296,Schichten!$A$5:$G$24,7,FALSE()),0))</f>
        <v>0</v>
      </c>
      <c r="G296" s="28" t="n">
        <f aca="false">IF($A296="","",IF(N(E296)=0,"",$A296+VLOOKUP(D296,Schichten!$A$5:$G$24,3,FALSE())))</f>
        <v>46679.25</v>
      </c>
      <c r="H296" s="28" t="n">
        <f aca="false">IF(G296="","",$A296+VLOOKUP(D296,Schichten!$A$5:$G$24,4,FALSE())+IF(VLOOKUP(D296,Schichten!$A$5:$G$24,4,FALSE())&lt;=VLOOKUP(D296,Schichten!$A$5:$G$24,3,FALSE()),1,0))</f>
        <v>46679.5833333333</v>
      </c>
      <c r="I296" s="28" t="n">
        <f aca="false">IF($A296="","",IF(N(E295)&gt;0,H295,I295))</f>
        <v>46677.25</v>
      </c>
      <c r="J296" s="27" t="n">
        <f aca="false">IF(OR(G296="",I296=""),"",(G296-I296)*24)</f>
        <v>48</v>
      </c>
      <c r="K296" s="21" t="n">
        <f aca="false">IF($A296="","",IF(N(E296)&gt;0,N(K295)+1,0))</f>
        <v>1</v>
      </c>
      <c r="L296" s="21" t="n">
        <f aca="false">IF($A296="","",IF(N(F296)&gt;0,N(L295)+1,0))</f>
        <v>0</v>
      </c>
      <c r="M296" s="21" t="str">
        <f aca="false">IF($A296="","",IF(WEEKDAY($A296,2)&lt;&gt;7,"",IF(AND(OR(G296="",N(G296)&gt;=$A296+16/24,N(H296)&lt;=$A296+6/24),OR(I296="",N(I296)&lt;=$A296+6/24)),1,0)))</f>
        <v/>
      </c>
      <c r="N296" s="26" t="str">
        <f aca="false">IF($A296="","",IF(INDEX(Muster!$C$7:$BF$7,1,MOD($A296-Einstellungen!$C$6,Einstellungen!$C$7)+1)="","-",INDEX(Muster!$C$7:$BF$7,1,MOD($A296-Einstellungen!$C$6,Einstellungen!$C$7)+1)))</f>
        <v>-</v>
      </c>
      <c r="O296" s="27" t="n">
        <f aca="false">IF($A296="","",IFERROR(VLOOKUP(N296,Schichten!$A$5:$G$24,6,FALSE()),0))</f>
        <v>0</v>
      </c>
      <c r="P296" s="27" t="n">
        <f aca="false">IF($A296="","",IFERROR(VLOOKUP(N296,Schichten!$A$5:$G$24,7,FALSE()),0))</f>
        <v>0</v>
      </c>
      <c r="Q296" s="28" t="str">
        <f aca="false">IF($A296="","",IF(N(O296)=0,"",$A296+VLOOKUP(N296,Schichten!$A$5:$G$24,3,FALSE())))</f>
        <v/>
      </c>
      <c r="R296" s="28" t="str">
        <f aca="false">IF(Q296="","",$A296+VLOOKUP(N296,Schichten!$A$5:$G$24,4,FALSE())+IF(VLOOKUP(N296,Schichten!$A$5:$G$24,4,FALSE())&lt;=VLOOKUP(N296,Schichten!$A$5:$G$24,3,FALSE()),1,0))</f>
        <v/>
      </c>
      <c r="S296" s="28" t="n">
        <f aca="false">IF($A296="","",IF(N(O295)&gt;0,R295,S295))</f>
        <v>46679.25</v>
      </c>
      <c r="T296" s="27" t="str">
        <f aca="false">IF(OR(Q296="",S296=""),"",(Q296-S296)*24)</f>
        <v/>
      </c>
      <c r="U296" s="21" t="n">
        <f aca="false">IF($A296="","",IF(N(O296)&gt;0,N(U295)+1,0))</f>
        <v>0</v>
      </c>
      <c r="V296" s="21" t="n">
        <f aca="false">IF($A296="","",IF(N(P296)&gt;0,N(V295)+1,0))</f>
        <v>0</v>
      </c>
      <c r="W296" s="21" t="str">
        <f aca="false">IF($A296="","",IF(WEEKDAY($A296,2)&lt;&gt;7,"",IF(AND(OR(Q296="",N(Q296)&gt;=$A296+16/24,N(R296)&lt;=$A296+6/24),OR(S296="",N(S296)&lt;=$A296+6/24)),1,0)))</f>
        <v/>
      </c>
      <c r="X296" s="26" t="str">
        <f aca="false">IF($A296="","",IF(INDEX(Muster!$C$8:$BF$8,1,MOD($A296-Einstellungen!$C$6,Einstellungen!$C$7)+1)="","-",INDEX(Muster!$C$8:$BF$8,1,MOD($A296-Einstellungen!$C$6,Einstellungen!$C$7)+1)))</f>
        <v>N</v>
      </c>
      <c r="Y296" s="27" t="n">
        <f aca="false">IF($A296="","",IFERROR(VLOOKUP(X296,Schichten!$A$5:$G$24,6,FALSE()),0))</f>
        <v>8</v>
      </c>
      <c r="Z296" s="27" t="n">
        <f aca="false">IF($A296="","",IFERROR(VLOOKUP(X296,Schichten!$A$5:$G$24,7,FALSE()),0))</f>
        <v>7</v>
      </c>
      <c r="AA296" s="28" t="n">
        <f aca="false">IF($A296="","",IF(N(Y296)=0,"",$A296+VLOOKUP(X296,Schichten!$A$5:$G$24,3,FALSE())))</f>
        <v>46679.9166666667</v>
      </c>
      <c r="AB296" s="28" t="n">
        <f aca="false">IF(AA296="","",$A296+VLOOKUP(X296,Schichten!$A$5:$G$24,4,FALSE())+IF(VLOOKUP(X296,Schichten!$A$5:$G$24,4,FALSE())&lt;=VLOOKUP(X296,Schichten!$A$5:$G$24,3,FALSE()),1,0))</f>
        <v>46680.25</v>
      </c>
      <c r="AC296" s="28" t="n">
        <f aca="false">IF($A296="","",IF(N(Y295)&gt;0,AB295,AC295))</f>
        <v>46678.9166666667</v>
      </c>
      <c r="AD296" s="27" t="n">
        <f aca="false">IF(OR(AA296="",AC296=""),"",(AA296-AC296)*24)</f>
        <v>24</v>
      </c>
      <c r="AE296" s="21" t="n">
        <f aca="false">IF($A296="","",IF(N(Y296)&gt;0,N(AE295)+1,0))</f>
        <v>5</v>
      </c>
      <c r="AF296" s="21" t="n">
        <f aca="false">IF($A296="","",IF(N(Z296)&gt;0,N(AF295)+1,0))</f>
        <v>1</v>
      </c>
      <c r="AG296" s="21" t="str">
        <f aca="false">IF($A296="","",IF(WEEKDAY($A296,2)&lt;&gt;7,"",IF(AND(OR(AA296="",N(AA296)&gt;=$A296+16/24,N(AB296)&lt;=$A296+6/24),OR(AC296="",N(AC296)&lt;=$A296+6/24)),1,0)))</f>
        <v/>
      </c>
      <c r="AH296" s="26" t="str">
        <f aca="false">IF($A296="","",IF(INDEX(Muster!$C$9:$BF$9,1,MOD($A296-Einstellungen!$C$6,Einstellungen!$C$7)+1)="","-",INDEX(Muster!$C$9:$BF$9,1,MOD($A296-Einstellungen!$C$6,Einstellungen!$C$7)+1)))</f>
        <v>S</v>
      </c>
      <c r="AI296" s="27" t="n">
        <f aca="false">IF($A296="","",IFERROR(VLOOKUP(AH296,Schichten!$A$5:$G$24,6,FALSE()),0))</f>
        <v>8</v>
      </c>
      <c r="AJ296" s="27" t="n">
        <f aca="false">IF($A296="","",IFERROR(VLOOKUP(AH296,Schichten!$A$5:$G$24,7,FALSE()),0))</f>
        <v>0</v>
      </c>
      <c r="AK296" s="28" t="n">
        <f aca="false">IF($A296="","",IF(N(AI296)=0,"",$A296+VLOOKUP(AH296,Schichten!$A$5:$G$24,3,FALSE())))</f>
        <v>46679.5833333333</v>
      </c>
      <c r="AL296" s="28" t="n">
        <f aca="false">IF(AK296="","",$A296+VLOOKUP(AH296,Schichten!$A$5:$G$24,4,FALSE())+IF(VLOOKUP(AH296,Schichten!$A$5:$G$24,4,FALSE())&lt;=VLOOKUP(AH296,Schichten!$A$5:$G$24,3,FALSE()),1,0))</f>
        <v>46679.9166666667</v>
      </c>
      <c r="AM296" s="28" t="n">
        <f aca="false">IF($A296="","",IF(N(AI295)&gt;0,AL295,AM295))</f>
        <v>46678.5833333333</v>
      </c>
      <c r="AN296" s="27" t="n">
        <f aca="false">IF(OR(AK296="",AM296=""),"",(AK296-AM296)*24)</f>
        <v>24</v>
      </c>
      <c r="AO296" s="21" t="n">
        <f aca="false">IF($A296="","",IF(N(AI296)&gt;0,N(AO295)+1,0))</f>
        <v>3</v>
      </c>
      <c r="AP296" s="21" t="n">
        <f aca="false">IF($A296="","",IF(N(AJ296)&gt;0,N(AP295)+1,0))</f>
        <v>0</v>
      </c>
      <c r="AQ296" s="21" t="str">
        <f aca="false">IF($A296="","",IF(WEEKDAY($A296,2)&lt;&gt;7,"",IF(AND(OR(AK296="",N(AK296)&gt;=$A296+16/24,N(AL296)&lt;=$A296+6/24),OR(AM296="",N(AM296)&lt;=$A296+6/24)),1,0)))</f>
        <v/>
      </c>
      <c r="AR296" s="26" t="str">
        <f aca="false">IF($A296="","",IF(INDEX(Muster!$C$10:$BF$10,1,MOD($A296-Einstellungen!$C$6,Einstellungen!$C$7)+1)="","-",INDEX(Muster!$C$10:$BF$10,1,MOD($A296-Einstellungen!$C$6,Einstellungen!$C$7)+1)))</f>
        <v>-</v>
      </c>
      <c r="AS296" s="27" t="n">
        <f aca="false">IF($A296="","",IFERROR(VLOOKUP(AR296,Schichten!$A$5:$G$24,6,FALSE()),0))</f>
        <v>0</v>
      </c>
      <c r="AT296" s="27" t="n">
        <f aca="false">IF($A296="","",IFERROR(VLOOKUP(AR296,Schichten!$A$5:$G$24,7,FALSE()),0))</f>
        <v>0</v>
      </c>
      <c r="AU296" s="28" t="str">
        <f aca="false">IF($A296="","",IF(N(AS296)=0,"",$A296+VLOOKUP(AR296,Schichten!$A$5:$G$24,3,FALSE())))</f>
        <v/>
      </c>
      <c r="AV296" s="28" t="str">
        <f aca="false">IF(AU296="","",$A296+VLOOKUP(AR296,Schichten!$A$5:$G$24,4,FALSE())+IF(VLOOKUP(AR296,Schichten!$A$5:$G$24,4,FALSE())&lt;=VLOOKUP(AR296,Schichten!$A$5:$G$24,3,FALSE()),1,0))</f>
        <v/>
      </c>
      <c r="AW296" s="28" t="str">
        <f aca="false">IF($A296="","",IF(N(AS295)&gt;0,AV295,AW295))</f>
        <v/>
      </c>
      <c r="AX296" s="27" t="str">
        <f aca="false">IF(OR(AU296="",AW296=""),"",(AU296-AW296)*24)</f>
        <v/>
      </c>
      <c r="AY296" s="21" t="n">
        <f aca="false">IF($A296="","",IF(N(AS296)&gt;0,N(AY295)+1,0))</f>
        <v>0</v>
      </c>
      <c r="AZ296" s="21" t="n">
        <f aca="false">IF($A296="","",IF(N(AT296)&gt;0,N(AZ295)+1,0))</f>
        <v>0</v>
      </c>
      <c r="BA296" s="21" t="str">
        <f aca="false">IF($A296="","",IF(WEEKDAY($A296,2)&lt;&gt;7,"",IF(AND(OR(AU296="",N(AU296)&gt;=$A296+16/24,N(AV296)&lt;=$A296+6/24),OR(AW296="",N(AW296)&lt;=$A296+6/24)),1,0)))</f>
        <v/>
      </c>
    </row>
    <row r="297" customFormat="false" ht="15" hidden="false" customHeight="false" outlineLevel="0" collapsed="false">
      <c r="A297" s="25" t="n">
        <f aca="false">IF(YEAR(DATE(Einstellungen!$C$4,1,1)+292)=Einstellungen!$C$4,DATE(Einstellungen!$C$4,1,1)+292,"")</f>
        <v>46680</v>
      </c>
      <c r="B297" s="26" t="str">
        <f aca="false">IF($A297="","",CHOOSE(WEEKDAY($A297,2),"Mo","Di","Mi","Do","Fr","Sa","So"))</f>
        <v>Mi</v>
      </c>
      <c r="C297" s="26" t="n">
        <f aca="false">IF($A297="","",MONTH($A297))</f>
        <v>10</v>
      </c>
      <c r="D297" s="26" t="str">
        <f aca="false">IF($A297="","",IF(INDEX(Muster!$C$6:$BF$6,1,MOD($A297-Einstellungen!$C$6,Einstellungen!$C$7)+1)="","-",INDEX(Muster!$C$6:$BF$6,1,MOD($A297-Einstellungen!$C$6,Einstellungen!$C$7)+1)))</f>
        <v>F</v>
      </c>
      <c r="E297" s="27" t="n">
        <f aca="false">IF($A297="","",IFERROR(VLOOKUP(D297,Schichten!$A$5:$G$24,6,FALSE()),0))</f>
        <v>8</v>
      </c>
      <c r="F297" s="27" t="n">
        <f aca="false">IF($A297="","",IFERROR(VLOOKUP(D297,Schichten!$A$5:$G$24,7,FALSE()),0))</f>
        <v>0</v>
      </c>
      <c r="G297" s="28" t="n">
        <f aca="false">IF($A297="","",IF(N(E297)=0,"",$A297+VLOOKUP(D297,Schichten!$A$5:$G$24,3,FALSE())))</f>
        <v>46680.25</v>
      </c>
      <c r="H297" s="28" t="n">
        <f aca="false">IF(G297="","",$A297+VLOOKUP(D297,Schichten!$A$5:$G$24,4,FALSE())+IF(VLOOKUP(D297,Schichten!$A$5:$G$24,4,FALSE())&lt;=VLOOKUP(D297,Schichten!$A$5:$G$24,3,FALSE()),1,0))</f>
        <v>46680.5833333333</v>
      </c>
      <c r="I297" s="28" t="n">
        <f aca="false">IF($A297="","",IF(N(E296)&gt;0,H296,I296))</f>
        <v>46679.5833333333</v>
      </c>
      <c r="J297" s="27" t="n">
        <f aca="false">IF(OR(G297="",I297=""),"",(G297-I297)*24)</f>
        <v>16</v>
      </c>
      <c r="K297" s="21" t="n">
        <f aca="false">IF($A297="","",IF(N(E297)&gt;0,N(K296)+1,0))</f>
        <v>2</v>
      </c>
      <c r="L297" s="21" t="n">
        <f aca="false">IF($A297="","",IF(N(F297)&gt;0,N(L296)+1,0))</f>
        <v>0</v>
      </c>
      <c r="M297" s="21" t="str">
        <f aca="false">IF($A297="","",IF(WEEKDAY($A297,2)&lt;&gt;7,"",IF(AND(OR(G297="",N(G297)&gt;=$A297+16/24,N(H297)&lt;=$A297+6/24),OR(I297="",N(I297)&lt;=$A297+6/24)),1,0)))</f>
        <v/>
      </c>
      <c r="N297" s="26" t="str">
        <f aca="false">IF($A297="","",IF(INDEX(Muster!$C$7:$BF$7,1,MOD($A297-Einstellungen!$C$6,Einstellungen!$C$7)+1)="","-",INDEX(Muster!$C$7:$BF$7,1,MOD($A297-Einstellungen!$C$6,Einstellungen!$C$7)+1)))</f>
        <v>-</v>
      </c>
      <c r="O297" s="27" t="n">
        <f aca="false">IF($A297="","",IFERROR(VLOOKUP(N297,Schichten!$A$5:$G$24,6,FALSE()),0))</f>
        <v>0</v>
      </c>
      <c r="P297" s="27" t="n">
        <f aca="false">IF($A297="","",IFERROR(VLOOKUP(N297,Schichten!$A$5:$G$24,7,FALSE()),0))</f>
        <v>0</v>
      </c>
      <c r="Q297" s="28" t="str">
        <f aca="false">IF($A297="","",IF(N(O297)=0,"",$A297+VLOOKUP(N297,Schichten!$A$5:$G$24,3,FALSE())))</f>
        <v/>
      </c>
      <c r="R297" s="28" t="str">
        <f aca="false">IF(Q297="","",$A297+VLOOKUP(N297,Schichten!$A$5:$G$24,4,FALSE())+IF(VLOOKUP(N297,Schichten!$A$5:$G$24,4,FALSE())&lt;=VLOOKUP(N297,Schichten!$A$5:$G$24,3,FALSE()),1,0))</f>
        <v/>
      </c>
      <c r="S297" s="28" t="n">
        <f aca="false">IF($A297="","",IF(N(O296)&gt;0,R296,S296))</f>
        <v>46679.25</v>
      </c>
      <c r="T297" s="27" t="str">
        <f aca="false">IF(OR(Q297="",S297=""),"",(Q297-S297)*24)</f>
        <v/>
      </c>
      <c r="U297" s="21" t="n">
        <f aca="false">IF($A297="","",IF(N(O297)&gt;0,N(U296)+1,0))</f>
        <v>0</v>
      </c>
      <c r="V297" s="21" t="n">
        <f aca="false">IF($A297="","",IF(N(P297)&gt;0,N(V296)+1,0))</f>
        <v>0</v>
      </c>
      <c r="W297" s="21" t="str">
        <f aca="false">IF($A297="","",IF(WEEKDAY($A297,2)&lt;&gt;7,"",IF(AND(OR(Q297="",N(Q297)&gt;=$A297+16/24,N(R297)&lt;=$A297+6/24),OR(S297="",N(S297)&lt;=$A297+6/24)),1,0)))</f>
        <v/>
      </c>
      <c r="X297" s="26" t="str">
        <f aca="false">IF($A297="","",IF(INDEX(Muster!$C$8:$BF$8,1,MOD($A297-Einstellungen!$C$6,Einstellungen!$C$7)+1)="","-",INDEX(Muster!$C$8:$BF$8,1,MOD($A297-Einstellungen!$C$6,Einstellungen!$C$7)+1)))</f>
        <v>N</v>
      </c>
      <c r="Y297" s="27" t="n">
        <f aca="false">IF($A297="","",IFERROR(VLOOKUP(X297,Schichten!$A$5:$G$24,6,FALSE()),0))</f>
        <v>8</v>
      </c>
      <c r="Z297" s="27" t="n">
        <f aca="false">IF($A297="","",IFERROR(VLOOKUP(X297,Schichten!$A$5:$G$24,7,FALSE()),0))</f>
        <v>7</v>
      </c>
      <c r="AA297" s="28" t="n">
        <f aca="false">IF($A297="","",IF(N(Y297)=0,"",$A297+VLOOKUP(X297,Schichten!$A$5:$G$24,3,FALSE())))</f>
        <v>46680.9166666667</v>
      </c>
      <c r="AB297" s="28" t="n">
        <f aca="false">IF(AA297="","",$A297+VLOOKUP(X297,Schichten!$A$5:$G$24,4,FALSE())+IF(VLOOKUP(X297,Schichten!$A$5:$G$24,4,FALSE())&lt;=VLOOKUP(X297,Schichten!$A$5:$G$24,3,FALSE()),1,0))</f>
        <v>46681.25</v>
      </c>
      <c r="AC297" s="28" t="n">
        <f aca="false">IF($A297="","",IF(N(Y296)&gt;0,AB296,AC296))</f>
        <v>46680.25</v>
      </c>
      <c r="AD297" s="27" t="n">
        <f aca="false">IF(OR(AA297="",AC297=""),"",(AA297-AC297)*24)</f>
        <v>16</v>
      </c>
      <c r="AE297" s="21" t="n">
        <f aca="false">IF($A297="","",IF(N(Y297)&gt;0,N(AE296)+1,0))</f>
        <v>6</v>
      </c>
      <c r="AF297" s="21" t="n">
        <f aca="false">IF($A297="","",IF(N(Z297)&gt;0,N(AF296)+1,0))</f>
        <v>2</v>
      </c>
      <c r="AG297" s="21" t="str">
        <f aca="false">IF($A297="","",IF(WEEKDAY($A297,2)&lt;&gt;7,"",IF(AND(OR(AA297="",N(AA297)&gt;=$A297+16/24,N(AB297)&lt;=$A297+6/24),OR(AC297="",N(AC297)&lt;=$A297+6/24)),1,0)))</f>
        <v/>
      </c>
      <c r="AH297" s="26" t="str">
        <f aca="false">IF($A297="","",IF(INDEX(Muster!$C$9:$BF$9,1,MOD($A297-Einstellungen!$C$6,Einstellungen!$C$7)+1)="","-",INDEX(Muster!$C$9:$BF$9,1,MOD($A297-Einstellungen!$C$6,Einstellungen!$C$7)+1)))</f>
        <v>S</v>
      </c>
      <c r="AI297" s="27" t="n">
        <f aca="false">IF($A297="","",IFERROR(VLOOKUP(AH297,Schichten!$A$5:$G$24,6,FALSE()),0))</f>
        <v>8</v>
      </c>
      <c r="AJ297" s="27" t="n">
        <f aca="false">IF($A297="","",IFERROR(VLOOKUP(AH297,Schichten!$A$5:$G$24,7,FALSE()),0))</f>
        <v>0</v>
      </c>
      <c r="AK297" s="28" t="n">
        <f aca="false">IF($A297="","",IF(N(AI297)=0,"",$A297+VLOOKUP(AH297,Schichten!$A$5:$G$24,3,FALSE())))</f>
        <v>46680.5833333333</v>
      </c>
      <c r="AL297" s="28" t="n">
        <f aca="false">IF(AK297="","",$A297+VLOOKUP(AH297,Schichten!$A$5:$G$24,4,FALSE())+IF(VLOOKUP(AH297,Schichten!$A$5:$G$24,4,FALSE())&lt;=VLOOKUP(AH297,Schichten!$A$5:$G$24,3,FALSE()),1,0))</f>
        <v>46680.9166666667</v>
      </c>
      <c r="AM297" s="28" t="n">
        <f aca="false">IF($A297="","",IF(N(AI296)&gt;0,AL296,AM296))</f>
        <v>46679.9166666667</v>
      </c>
      <c r="AN297" s="27" t="n">
        <f aca="false">IF(OR(AK297="",AM297=""),"",(AK297-AM297)*24)</f>
        <v>16</v>
      </c>
      <c r="AO297" s="21" t="n">
        <f aca="false">IF($A297="","",IF(N(AI297)&gt;0,N(AO296)+1,0))</f>
        <v>4</v>
      </c>
      <c r="AP297" s="21" t="n">
        <f aca="false">IF($A297="","",IF(N(AJ297)&gt;0,N(AP296)+1,0))</f>
        <v>0</v>
      </c>
      <c r="AQ297" s="21" t="str">
        <f aca="false">IF($A297="","",IF(WEEKDAY($A297,2)&lt;&gt;7,"",IF(AND(OR(AK297="",N(AK297)&gt;=$A297+16/24,N(AL297)&lt;=$A297+6/24),OR(AM297="",N(AM297)&lt;=$A297+6/24)),1,0)))</f>
        <v/>
      </c>
      <c r="AR297" s="26" t="str">
        <f aca="false">IF($A297="","",IF(INDEX(Muster!$C$10:$BF$10,1,MOD($A297-Einstellungen!$C$6,Einstellungen!$C$7)+1)="","-",INDEX(Muster!$C$10:$BF$10,1,MOD($A297-Einstellungen!$C$6,Einstellungen!$C$7)+1)))</f>
        <v>-</v>
      </c>
      <c r="AS297" s="27" t="n">
        <f aca="false">IF($A297="","",IFERROR(VLOOKUP(AR297,Schichten!$A$5:$G$24,6,FALSE()),0))</f>
        <v>0</v>
      </c>
      <c r="AT297" s="27" t="n">
        <f aca="false">IF($A297="","",IFERROR(VLOOKUP(AR297,Schichten!$A$5:$G$24,7,FALSE()),0))</f>
        <v>0</v>
      </c>
      <c r="AU297" s="28" t="str">
        <f aca="false">IF($A297="","",IF(N(AS297)=0,"",$A297+VLOOKUP(AR297,Schichten!$A$5:$G$24,3,FALSE())))</f>
        <v/>
      </c>
      <c r="AV297" s="28" t="str">
        <f aca="false">IF(AU297="","",$A297+VLOOKUP(AR297,Schichten!$A$5:$G$24,4,FALSE())+IF(VLOOKUP(AR297,Schichten!$A$5:$G$24,4,FALSE())&lt;=VLOOKUP(AR297,Schichten!$A$5:$G$24,3,FALSE()),1,0))</f>
        <v/>
      </c>
      <c r="AW297" s="28" t="str">
        <f aca="false">IF($A297="","",IF(N(AS296)&gt;0,AV296,AW296))</f>
        <v/>
      </c>
      <c r="AX297" s="27" t="str">
        <f aca="false">IF(OR(AU297="",AW297=""),"",(AU297-AW297)*24)</f>
        <v/>
      </c>
      <c r="AY297" s="21" t="n">
        <f aca="false">IF($A297="","",IF(N(AS297)&gt;0,N(AY296)+1,0))</f>
        <v>0</v>
      </c>
      <c r="AZ297" s="21" t="n">
        <f aca="false">IF($A297="","",IF(N(AT297)&gt;0,N(AZ296)+1,0))</f>
        <v>0</v>
      </c>
      <c r="BA297" s="21" t="str">
        <f aca="false">IF($A297="","",IF(WEEKDAY($A297,2)&lt;&gt;7,"",IF(AND(OR(AU297="",N(AU297)&gt;=$A297+16/24,N(AV297)&lt;=$A297+6/24),OR(AW297="",N(AW297)&lt;=$A297+6/24)),1,0)))</f>
        <v/>
      </c>
    </row>
    <row r="298" customFormat="false" ht="15" hidden="false" customHeight="false" outlineLevel="0" collapsed="false">
      <c r="A298" s="25" t="n">
        <f aca="false">IF(YEAR(DATE(Einstellungen!$C$4,1,1)+293)=Einstellungen!$C$4,DATE(Einstellungen!$C$4,1,1)+293,"")</f>
        <v>46681</v>
      </c>
      <c r="B298" s="26" t="str">
        <f aca="false">IF($A298="","",CHOOSE(WEEKDAY($A298,2),"Mo","Di","Mi","Do","Fr","Sa","So"))</f>
        <v>Do</v>
      </c>
      <c r="C298" s="26" t="n">
        <f aca="false">IF($A298="","",MONTH($A298))</f>
        <v>10</v>
      </c>
      <c r="D298" s="26" t="str">
        <f aca="false">IF($A298="","",IF(INDEX(Muster!$C$6:$BF$6,1,MOD($A298-Einstellungen!$C$6,Einstellungen!$C$7)+1)="","-",INDEX(Muster!$C$6:$BF$6,1,MOD($A298-Einstellungen!$C$6,Einstellungen!$C$7)+1)))</f>
        <v>S</v>
      </c>
      <c r="E298" s="27" t="n">
        <f aca="false">IF($A298="","",IFERROR(VLOOKUP(D298,Schichten!$A$5:$G$24,6,FALSE()),0))</f>
        <v>8</v>
      </c>
      <c r="F298" s="27" t="n">
        <f aca="false">IF($A298="","",IFERROR(VLOOKUP(D298,Schichten!$A$5:$G$24,7,FALSE()),0))</f>
        <v>0</v>
      </c>
      <c r="G298" s="28" t="n">
        <f aca="false">IF($A298="","",IF(N(E298)=0,"",$A298+VLOOKUP(D298,Schichten!$A$5:$G$24,3,FALSE())))</f>
        <v>46681.5833333333</v>
      </c>
      <c r="H298" s="28" t="n">
        <f aca="false">IF(G298="","",$A298+VLOOKUP(D298,Schichten!$A$5:$G$24,4,FALSE())+IF(VLOOKUP(D298,Schichten!$A$5:$G$24,4,FALSE())&lt;=VLOOKUP(D298,Schichten!$A$5:$G$24,3,FALSE()),1,0))</f>
        <v>46681.9166666667</v>
      </c>
      <c r="I298" s="28" t="n">
        <f aca="false">IF($A298="","",IF(N(E297)&gt;0,H297,I297))</f>
        <v>46680.5833333333</v>
      </c>
      <c r="J298" s="27" t="n">
        <f aca="false">IF(OR(G298="",I298=""),"",(G298-I298)*24)</f>
        <v>24</v>
      </c>
      <c r="K298" s="21" t="n">
        <f aca="false">IF($A298="","",IF(N(E298)&gt;0,N(K297)+1,0))</f>
        <v>3</v>
      </c>
      <c r="L298" s="21" t="n">
        <f aca="false">IF($A298="","",IF(N(F298)&gt;0,N(L297)+1,0))</f>
        <v>0</v>
      </c>
      <c r="M298" s="21" t="str">
        <f aca="false">IF($A298="","",IF(WEEKDAY($A298,2)&lt;&gt;7,"",IF(AND(OR(G298="",N(G298)&gt;=$A298+16/24,N(H298)&lt;=$A298+6/24),OR(I298="",N(I298)&lt;=$A298+6/24)),1,0)))</f>
        <v/>
      </c>
      <c r="N298" s="26" t="str">
        <f aca="false">IF($A298="","",IF(INDEX(Muster!$C$7:$BF$7,1,MOD($A298-Einstellungen!$C$6,Einstellungen!$C$7)+1)="","-",INDEX(Muster!$C$7:$BF$7,1,MOD($A298-Einstellungen!$C$6,Einstellungen!$C$7)+1)))</f>
        <v>F</v>
      </c>
      <c r="O298" s="27" t="n">
        <f aca="false">IF($A298="","",IFERROR(VLOOKUP(N298,Schichten!$A$5:$G$24,6,FALSE()),0))</f>
        <v>8</v>
      </c>
      <c r="P298" s="27" t="n">
        <f aca="false">IF($A298="","",IFERROR(VLOOKUP(N298,Schichten!$A$5:$G$24,7,FALSE()),0))</f>
        <v>0</v>
      </c>
      <c r="Q298" s="28" t="n">
        <f aca="false">IF($A298="","",IF(N(O298)=0,"",$A298+VLOOKUP(N298,Schichten!$A$5:$G$24,3,FALSE())))</f>
        <v>46681.25</v>
      </c>
      <c r="R298" s="28" t="n">
        <f aca="false">IF(Q298="","",$A298+VLOOKUP(N298,Schichten!$A$5:$G$24,4,FALSE())+IF(VLOOKUP(N298,Schichten!$A$5:$G$24,4,FALSE())&lt;=VLOOKUP(N298,Schichten!$A$5:$G$24,3,FALSE()),1,0))</f>
        <v>46681.5833333333</v>
      </c>
      <c r="S298" s="28" t="n">
        <f aca="false">IF($A298="","",IF(N(O297)&gt;0,R297,S297))</f>
        <v>46679.25</v>
      </c>
      <c r="T298" s="27" t="n">
        <f aca="false">IF(OR(Q298="",S298=""),"",(Q298-S298)*24)</f>
        <v>48</v>
      </c>
      <c r="U298" s="21" t="n">
        <f aca="false">IF($A298="","",IF(N(O298)&gt;0,N(U297)+1,0))</f>
        <v>1</v>
      </c>
      <c r="V298" s="21" t="n">
        <f aca="false">IF($A298="","",IF(N(P298)&gt;0,N(V297)+1,0))</f>
        <v>0</v>
      </c>
      <c r="W298" s="21" t="str">
        <f aca="false">IF($A298="","",IF(WEEKDAY($A298,2)&lt;&gt;7,"",IF(AND(OR(Q298="",N(Q298)&gt;=$A298+16/24,N(R298)&lt;=$A298+6/24),OR(S298="",N(S298)&lt;=$A298+6/24)),1,0)))</f>
        <v/>
      </c>
      <c r="X298" s="26" t="str">
        <f aca="false">IF($A298="","",IF(INDEX(Muster!$C$8:$BF$8,1,MOD($A298-Einstellungen!$C$6,Einstellungen!$C$7)+1)="","-",INDEX(Muster!$C$8:$BF$8,1,MOD($A298-Einstellungen!$C$6,Einstellungen!$C$7)+1)))</f>
        <v>-</v>
      </c>
      <c r="Y298" s="27" t="n">
        <f aca="false">IF($A298="","",IFERROR(VLOOKUP(X298,Schichten!$A$5:$G$24,6,FALSE()),0))</f>
        <v>0</v>
      </c>
      <c r="Z298" s="27" t="n">
        <f aca="false">IF($A298="","",IFERROR(VLOOKUP(X298,Schichten!$A$5:$G$24,7,FALSE()),0))</f>
        <v>0</v>
      </c>
      <c r="AA298" s="28" t="str">
        <f aca="false">IF($A298="","",IF(N(Y298)=0,"",$A298+VLOOKUP(X298,Schichten!$A$5:$G$24,3,FALSE())))</f>
        <v/>
      </c>
      <c r="AB298" s="28" t="str">
        <f aca="false">IF(AA298="","",$A298+VLOOKUP(X298,Schichten!$A$5:$G$24,4,FALSE())+IF(VLOOKUP(X298,Schichten!$A$5:$G$24,4,FALSE())&lt;=VLOOKUP(X298,Schichten!$A$5:$G$24,3,FALSE()),1,0))</f>
        <v/>
      </c>
      <c r="AC298" s="28" t="n">
        <f aca="false">IF($A298="","",IF(N(Y297)&gt;0,AB297,AC297))</f>
        <v>46681.25</v>
      </c>
      <c r="AD298" s="27" t="str">
        <f aca="false">IF(OR(AA298="",AC298=""),"",(AA298-AC298)*24)</f>
        <v/>
      </c>
      <c r="AE298" s="21" t="n">
        <f aca="false">IF($A298="","",IF(N(Y298)&gt;0,N(AE297)+1,0))</f>
        <v>0</v>
      </c>
      <c r="AF298" s="21" t="n">
        <f aca="false">IF($A298="","",IF(N(Z298)&gt;0,N(AF297)+1,0))</f>
        <v>0</v>
      </c>
      <c r="AG298" s="21" t="str">
        <f aca="false">IF($A298="","",IF(WEEKDAY($A298,2)&lt;&gt;7,"",IF(AND(OR(AA298="",N(AA298)&gt;=$A298+16/24,N(AB298)&lt;=$A298+6/24),OR(AC298="",N(AC298)&lt;=$A298+6/24)),1,0)))</f>
        <v/>
      </c>
      <c r="AH298" s="26" t="str">
        <f aca="false">IF($A298="","",IF(INDEX(Muster!$C$9:$BF$9,1,MOD($A298-Einstellungen!$C$6,Einstellungen!$C$7)+1)="","-",INDEX(Muster!$C$9:$BF$9,1,MOD($A298-Einstellungen!$C$6,Einstellungen!$C$7)+1)))</f>
        <v>N</v>
      </c>
      <c r="AI298" s="27" t="n">
        <f aca="false">IF($A298="","",IFERROR(VLOOKUP(AH298,Schichten!$A$5:$G$24,6,FALSE()),0))</f>
        <v>8</v>
      </c>
      <c r="AJ298" s="27" t="n">
        <f aca="false">IF($A298="","",IFERROR(VLOOKUP(AH298,Schichten!$A$5:$G$24,7,FALSE()),0))</f>
        <v>7</v>
      </c>
      <c r="AK298" s="28" t="n">
        <f aca="false">IF($A298="","",IF(N(AI298)=0,"",$A298+VLOOKUP(AH298,Schichten!$A$5:$G$24,3,FALSE())))</f>
        <v>46681.9166666667</v>
      </c>
      <c r="AL298" s="28" t="n">
        <f aca="false">IF(AK298="","",$A298+VLOOKUP(AH298,Schichten!$A$5:$G$24,4,FALSE())+IF(VLOOKUP(AH298,Schichten!$A$5:$G$24,4,FALSE())&lt;=VLOOKUP(AH298,Schichten!$A$5:$G$24,3,FALSE()),1,0))</f>
        <v>46682.25</v>
      </c>
      <c r="AM298" s="28" t="n">
        <f aca="false">IF($A298="","",IF(N(AI297)&gt;0,AL297,AM297))</f>
        <v>46680.9166666667</v>
      </c>
      <c r="AN298" s="27" t="n">
        <f aca="false">IF(OR(AK298="",AM298=""),"",(AK298-AM298)*24)</f>
        <v>24</v>
      </c>
      <c r="AO298" s="21" t="n">
        <f aca="false">IF($A298="","",IF(N(AI298)&gt;0,N(AO297)+1,0))</f>
        <v>5</v>
      </c>
      <c r="AP298" s="21" t="n">
        <f aca="false">IF($A298="","",IF(N(AJ298)&gt;0,N(AP297)+1,0))</f>
        <v>1</v>
      </c>
      <c r="AQ298" s="21" t="str">
        <f aca="false">IF($A298="","",IF(WEEKDAY($A298,2)&lt;&gt;7,"",IF(AND(OR(AK298="",N(AK298)&gt;=$A298+16/24,N(AL298)&lt;=$A298+6/24),OR(AM298="",N(AM298)&lt;=$A298+6/24)),1,0)))</f>
        <v/>
      </c>
      <c r="AR298" s="26" t="str">
        <f aca="false">IF($A298="","",IF(INDEX(Muster!$C$10:$BF$10,1,MOD($A298-Einstellungen!$C$6,Einstellungen!$C$7)+1)="","-",INDEX(Muster!$C$10:$BF$10,1,MOD($A298-Einstellungen!$C$6,Einstellungen!$C$7)+1)))</f>
        <v>-</v>
      </c>
      <c r="AS298" s="27" t="n">
        <f aca="false">IF($A298="","",IFERROR(VLOOKUP(AR298,Schichten!$A$5:$G$24,6,FALSE()),0))</f>
        <v>0</v>
      </c>
      <c r="AT298" s="27" t="n">
        <f aca="false">IF($A298="","",IFERROR(VLOOKUP(AR298,Schichten!$A$5:$G$24,7,FALSE()),0))</f>
        <v>0</v>
      </c>
      <c r="AU298" s="28" t="str">
        <f aca="false">IF($A298="","",IF(N(AS298)=0,"",$A298+VLOOKUP(AR298,Schichten!$A$5:$G$24,3,FALSE())))</f>
        <v/>
      </c>
      <c r="AV298" s="28" t="str">
        <f aca="false">IF(AU298="","",$A298+VLOOKUP(AR298,Schichten!$A$5:$G$24,4,FALSE())+IF(VLOOKUP(AR298,Schichten!$A$5:$G$24,4,FALSE())&lt;=VLOOKUP(AR298,Schichten!$A$5:$G$24,3,FALSE()),1,0))</f>
        <v/>
      </c>
      <c r="AW298" s="28" t="str">
        <f aca="false">IF($A298="","",IF(N(AS297)&gt;0,AV297,AW297))</f>
        <v/>
      </c>
      <c r="AX298" s="27" t="str">
        <f aca="false">IF(OR(AU298="",AW298=""),"",(AU298-AW298)*24)</f>
        <v/>
      </c>
      <c r="AY298" s="21" t="n">
        <f aca="false">IF($A298="","",IF(N(AS298)&gt;0,N(AY297)+1,0))</f>
        <v>0</v>
      </c>
      <c r="AZ298" s="21" t="n">
        <f aca="false">IF($A298="","",IF(N(AT298)&gt;0,N(AZ297)+1,0))</f>
        <v>0</v>
      </c>
      <c r="BA298" s="21" t="str">
        <f aca="false">IF($A298="","",IF(WEEKDAY($A298,2)&lt;&gt;7,"",IF(AND(OR(AU298="",N(AU298)&gt;=$A298+16/24,N(AV298)&lt;=$A298+6/24),OR(AW298="",N(AW298)&lt;=$A298+6/24)),1,0)))</f>
        <v/>
      </c>
    </row>
    <row r="299" customFormat="false" ht="15" hidden="false" customHeight="false" outlineLevel="0" collapsed="false">
      <c r="A299" s="25" t="n">
        <f aca="false">IF(YEAR(DATE(Einstellungen!$C$4,1,1)+294)=Einstellungen!$C$4,DATE(Einstellungen!$C$4,1,1)+294,"")</f>
        <v>46682</v>
      </c>
      <c r="B299" s="26" t="str">
        <f aca="false">IF($A299="","",CHOOSE(WEEKDAY($A299,2),"Mo","Di","Mi","Do","Fr","Sa","So"))</f>
        <v>Fr</v>
      </c>
      <c r="C299" s="26" t="n">
        <f aca="false">IF($A299="","",MONTH($A299))</f>
        <v>10</v>
      </c>
      <c r="D299" s="26" t="str">
        <f aca="false">IF($A299="","",IF(INDEX(Muster!$C$6:$BF$6,1,MOD($A299-Einstellungen!$C$6,Einstellungen!$C$7)+1)="","-",INDEX(Muster!$C$6:$BF$6,1,MOD($A299-Einstellungen!$C$6,Einstellungen!$C$7)+1)))</f>
        <v>S</v>
      </c>
      <c r="E299" s="27" t="n">
        <f aca="false">IF($A299="","",IFERROR(VLOOKUP(D299,Schichten!$A$5:$G$24,6,FALSE()),0))</f>
        <v>8</v>
      </c>
      <c r="F299" s="27" t="n">
        <f aca="false">IF($A299="","",IFERROR(VLOOKUP(D299,Schichten!$A$5:$G$24,7,FALSE()),0))</f>
        <v>0</v>
      </c>
      <c r="G299" s="28" t="n">
        <f aca="false">IF($A299="","",IF(N(E299)=0,"",$A299+VLOOKUP(D299,Schichten!$A$5:$G$24,3,FALSE())))</f>
        <v>46682.5833333333</v>
      </c>
      <c r="H299" s="28" t="n">
        <f aca="false">IF(G299="","",$A299+VLOOKUP(D299,Schichten!$A$5:$G$24,4,FALSE())+IF(VLOOKUP(D299,Schichten!$A$5:$G$24,4,FALSE())&lt;=VLOOKUP(D299,Schichten!$A$5:$G$24,3,FALSE()),1,0))</f>
        <v>46682.9166666667</v>
      </c>
      <c r="I299" s="28" t="n">
        <f aca="false">IF($A299="","",IF(N(E298)&gt;0,H298,I298))</f>
        <v>46681.9166666667</v>
      </c>
      <c r="J299" s="27" t="n">
        <f aca="false">IF(OR(G299="",I299=""),"",(G299-I299)*24)</f>
        <v>16</v>
      </c>
      <c r="K299" s="21" t="n">
        <f aca="false">IF($A299="","",IF(N(E299)&gt;0,N(K298)+1,0))</f>
        <v>4</v>
      </c>
      <c r="L299" s="21" t="n">
        <f aca="false">IF($A299="","",IF(N(F299)&gt;0,N(L298)+1,0))</f>
        <v>0</v>
      </c>
      <c r="M299" s="21" t="str">
        <f aca="false">IF($A299="","",IF(WEEKDAY($A299,2)&lt;&gt;7,"",IF(AND(OR(G299="",N(G299)&gt;=$A299+16/24,N(H299)&lt;=$A299+6/24),OR(I299="",N(I299)&lt;=$A299+6/24)),1,0)))</f>
        <v/>
      </c>
      <c r="N299" s="26" t="str">
        <f aca="false">IF($A299="","",IF(INDEX(Muster!$C$7:$BF$7,1,MOD($A299-Einstellungen!$C$6,Einstellungen!$C$7)+1)="","-",INDEX(Muster!$C$7:$BF$7,1,MOD($A299-Einstellungen!$C$6,Einstellungen!$C$7)+1)))</f>
        <v>F</v>
      </c>
      <c r="O299" s="27" t="n">
        <f aca="false">IF($A299="","",IFERROR(VLOOKUP(N299,Schichten!$A$5:$G$24,6,FALSE()),0))</f>
        <v>8</v>
      </c>
      <c r="P299" s="27" t="n">
        <f aca="false">IF($A299="","",IFERROR(VLOOKUP(N299,Schichten!$A$5:$G$24,7,FALSE()),0))</f>
        <v>0</v>
      </c>
      <c r="Q299" s="28" t="n">
        <f aca="false">IF($A299="","",IF(N(O299)=0,"",$A299+VLOOKUP(N299,Schichten!$A$5:$G$24,3,FALSE())))</f>
        <v>46682.25</v>
      </c>
      <c r="R299" s="28" t="n">
        <f aca="false">IF(Q299="","",$A299+VLOOKUP(N299,Schichten!$A$5:$G$24,4,FALSE())+IF(VLOOKUP(N299,Schichten!$A$5:$G$24,4,FALSE())&lt;=VLOOKUP(N299,Schichten!$A$5:$G$24,3,FALSE()),1,0))</f>
        <v>46682.5833333333</v>
      </c>
      <c r="S299" s="28" t="n">
        <f aca="false">IF($A299="","",IF(N(O298)&gt;0,R298,S298))</f>
        <v>46681.5833333333</v>
      </c>
      <c r="T299" s="27" t="n">
        <f aca="false">IF(OR(Q299="",S299=""),"",(Q299-S299)*24)</f>
        <v>16</v>
      </c>
      <c r="U299" s="21" t="n">
        <f aca="false">IF($A299="","",IF(N(O299)&gt;0,N(U298)+1,0))</f>
        <v>2</v>
      </c>
      <c r="V299" s="21" t="n">
        <f aca="false">IF($A299="","",IF(N(P299)&gt;0,N(V298)+1,0))</f>
        <v>0</v>
      </c>
      <c r="W299" s="21" t="str">
        <f aca="false">IF($A299="","",IF(WEEKDAY($A299,2)&lt;&gt;7,"",IF(AND(OR(Q299="",N(Q299)&gt;=$A299+16/24,N(R299)&lt;=$A299+6/24),OR(S299="",N(S299)&lt;=$A299+6/24)),1,0)))</f>
        <v/>
      </c>
      <c r="X299" s="26" t="str">
        <f aca="false">IF($A299="","",IF(INDEX(Muster!$C$8:$BF$8,1,MOD($A299-Einstellungen!$C$6,Einstellungen!$C$7)+1)="","-",INDEX(Muster!$C$8:$BF$8,1,MOD($A299-Einstellungen!$C$6,Einstellungen!$C$7)+1)))</f>
        <v>-</v>
      </c>
      <c r="Y299" s="27" t="n">
        <f aca="false">IF($A299="","",IFERROR(VLOOKUP(X299,Schichten!$A$5:$G$24,6,FALSE()),0))</f>
        <v>0</v>
      </c>
      <c r="Z299" s="27" t="n">
        <f aca="false">IF($A299="","",IFERROR(VLOOKUP(X299,Schichten!$A$5:$G$24,7,FALSE()),0))</f>
        <v>0</v>
      </c>
      <c r="AA299" s="28" t="str">
        <f aca="false">IF($A299="","",IF(N(Y299)=0,"",$A299+VLOOKUP(X299,Schichten!$A$5:$G$24,3,FALSE())))</f>
        <v/>
      </c>
      <c r="AB299" s="28" t="str">
        <f aca="false">IF(AA299="","",$A299+VLOOKUP(X299,Schichten!$A$5:$G$24,4,FALSE())+IF(VLOOKUP(X299,Schichten!$A$5:$G$24,4,FALSE())&lt;=VLOOKUP(X299,Schichten!$A$5:$G$24,3,FALSE()),1,0))</f>
        <v/>
      </c>
      <c r="AC299" s="28" t="n">
        <f aca="false">IF($A299="","",IF(N(Y298)&gt;0,AB298,AC298))</f>
        <v>46681.25</v>
      </c>
      <c r="AD299" s="27" t="str">
        <f aca="false">IF(OR(AA299="",AC299=""),"",(AA299-AC299)*24)</f>
        <v/>
      </c>
      <c r="AE299" s="21" t="n">
        <f aca="false">IF($A299="","",IF(N(Y299)&gt;0,N(AE298)+1,0))</f>
        <v>0</v>
      </c>
      <c r="AF299" s="21" t="n">
        <f aca="false">IF($A299="","",IF(N(Z299)&gt;0,N(AF298)+1,0))</f>
        <v>0</v>
      </c>
      <c r="AG299" s="21" t="str">
        <f aca="false">IF($A299="","",IF(WEEKDAY($A299,2)&lt;&gt;7,"",IF(AND(OR(AA299="",N(AA299)&gt;=$A299+16/24,N(AB299)&lt;=$A299+6/24),OR(AC299="",N(AC299)&lt;=$A299+6/24)),1,0)))</f>
        <v/>
      </c>
      <c r="AH299" s="26" t="str">
        <f aca="false">IF($A299="","",IF(INDEX(Muster!$C$9:$BF$9,1,MOD($A299-Einstellungen!$C$6,Einstellungen!$C$7)+1)="","-",INDEX(Muster!$C$9:$BF$9,1,MOD($A299-Einstellungen!$C$6,Einstellungen!$C$7)+1)))</f>
        <v>N</v>
      </c>
      <c r="AI299" s="27" t="n">
        <f aca="false">IF($A299="","",IFERROR(VLOOKUP(AH299,Schichten!$A$5:$G$24,6,FALSE()),0))</f>
        <v>8</v>
      </c>
      <c r="AJ299" s="27" t="n">
        <f aca="false">IF($A299="","",IFERROR(VLOOKUP(AH299,Schichten!$A$5:$G$24,7,FALSE()),0))</f>
        <v>7</v>
      </c>
      <c r="AK299" s="28" t="n">
        <f aca="false">IF($A299="","",IF(N(AI299)=0,"",$A299+VLOOKUP(AH299,Schichten!$A$5:$G$24,3,FALSE())))</f>
        <v>46682.9166666667</v>
      </c>
      <c r="AL299" s="28" t="n">
        <f aca="false">IF(AK299="","",$A299+VLOOKUP(AH299,Schichten!$A$5:$G$24,4,FALSE())+IF(VLOOKUP(AH299,Schichten!$A$5:$G$24,4,FALSE())&lt;=VLOOKUP(AH299,Schichten!$A$5:$G$24,3,FALSE()),1,0))</f>
        <v>46683.25</v>
      </c>
      <c r="AM299" s="28" t="n">
        <f aca="false">IF($A299="","",IF(N(AI298)&gt;0,AL298,AM298))</f>
        <v>46682.25</v>
      </c>
      <c r="AN299" s="27" t="n">
        <f aca="false">IF(OR(AK299="",AM299=""),"",(AK299-AM299)*24)</f>
        <v>16</v>
      </c>
      <c r="AO299" s="21" t="n">
        <f aca="false">IF($A299="","",IF(N(AI299)&gt;0,N(AO298)+1,0))</f>
        <v>6</v>
      </c>
      <c r="AP299" s="21" t="n">
        <f aca="false">IF($A299="","",IF(N(AJ299)&gt;0,N(AP298)+1,0))</f>
        <v>2</v>
      </c>
      <c r="AQ299" s="21" t="str">
        <f aca="false">IF($A299="","",IF(WEEKDAY($A299,2)&lt;&gt;7,"",IF(AND(OR(AK299="",N(AK299)&gt;=$A299+16/24,N(AL299)&lt;=$A299+6/24),OR(AM299="",N(AM299)&lt;=$A299+6/24)),1,0)))</f>
        <v/>
      </c>
      <c r="AR299" s="26" t="str">
        <f aca="false">IF($A299="","",IF(INDEX(Muster!$C$10:$BF$10,1,MOD($A299-Einstellungen!$C$6,Einstellungen!$C$7)+1)="","-",INDEX(Muster!$C$10:$BF$10,1,MOD($A299-Einstellungen!$C$6,Einstellungen!$C$7)+1)))</f>
        <v>-</v>
      </c>
      <c r="AS299" s="27" t="n">
        <f aca="false">IF($A299="","",IFERROR(VLOOKUP(AR299,Schichten!$A$5:$G$24,6,FALSE()),0))</f>
        <v>0</v>
      </c>
      <c r="AT299" s="27" t="n">
        <f aca="false">IF($A299="","",IFERROR(VLOOKUP(AR299,Schichten!$A$5:$G$24,7,FALSE()),0))</f>
        <v>0</v>
      </c>
      <c r="AU299" s="28" t="str">
        <f aca="false">IF($A299="","",IF(N(AS299)=0,"",$A299+VLOOKUP(AR299,Schichten!$A$5:$G$24,3,FALSE())))</f>
        <v/>
      </c>
      <c r="AV299" s="28" t="str">
        <f aca="false">IF(AU299="","",$A299+VLOOKUP(AR299,Schichten!$A$5:$G$24,4,FALSE())+IF(VLOOKUP(AR299,Schichten!$A$5:$G$24,4,FALSE())&lt;=VLOOKUP(AR299,Schichten!$A$5:$G$24,3,FALSE()),1,0))</f>
        <v/>
      </c>
      <c r="AW299" s="28" t="str">
        <f aca="false">IF($A299="","",IF(N(AS298)&gt;0,AV298,AW298))</f>
        <v/>
      </c>
      <c r="AX299" s="27" t="str">
        <f aca="false">IF(OR(AU299="",AW299=""),"",(AU299-AW299)*24)</f>
        <v/>
      </c>
      <c r="AY299" s="21" t="n">
        <f aca="false">IF($A299="","",IF(N(AS299)&gt;0,N(AY298)+1,0))</f>
        <v>0</v>
      </c>
      <c r="AZ299" s="21" t="n">
        <f aca="false">IF($A299="","",IF(N(AT299)&gt;0,N(AZ298)+1,0))</f>
        <v>0</v>
      </c>
      <c r="BA299" s="21" t="str">
        <f aca="false">IF($A299="","",IF(WEEKDAY($A299,2)&lt;&gt;7,"",IF(AND(OR(AU299="",N(AU299)&gt;=$A299+16/24,N(AV299)&lt;=$A299+6/24),OR(AW299="",N(AW299)&lt;=$A299+6/24)),1,0)))</f>
        <v/>
      </c>
    </row>
    <row r="300" customFormat="false" ht="15" hidden="false" customHeight="false" outlineLevel="0" collapsed="false">
      <c r="A300" s="25" t="n">
        <f aca="false">IF(YEAR(DATE(Einstellungen!$C$4,1,1)+295)=Einstellungen!$C$4,DATE(Einstellungen!$C$4,1,1)+295,"")</f>
        <v>46683</v>
      </c>
      <c r="B300" s="26" t="str">
        <f aca="false">IF($A300="","",CHOOSE(WEEKDAY($A300,2),"Mo","Di","Mi","Do","Fr","Sa","So"))</f>
        <v>Sa</v>
      </c>
      <c r="C300" s="26" t="n">
        <f aca="false">IF($A300="","",MONTH($A300))</f>
        <v>10</v>
      </c>
      <c r="D300" s="26" t="str">
        <f aca="false">IF($A300="","",IF(INDEX(Muster!$C$6:$BF$6,1,MOD($A300-Einstellungen!$C$6,Einstellungen!$C$7)+1)="","-",INDEX(Muster!$C$6:$BF$6,1,MOD($A300-Einstellungen!$C$6,Einstellungen!$C$7)+1)))</f>
        <v>N</v>
      </c>
      <c r="E300" s="27" t="n">
        <f aca="false">IF($A300="","",IFERROR(VLOOKUP(D300,Schichten!$A$5:$G$24,6,FALSE()),0))</f>
        <v>8</v>
      </c>
      <c r="F300" s="27" t="n">
        <f aca="false">IF($A300="","",IFERROR(VLOOKUP(D300,Schichten!$A$5:$G$24,7,FALSE()),0))</f>
        <v>7</v>
      </c>
      <c r="G300" s="28" t="n">
        <f aca="false">IF($A300="","",IF(N(E300)=0,"",$A300+VLOOKUP(D300,Schichten!$A$5:$G$24,3,FALSE())))</f>
        <v>46683.9166666667</v>
      </c>
      <c r="H300" s="28" t="n">
        <f aca="false">IF(G300="","",$A300+VLOOKUP(D300,Schichten!$A$5:$G$24,4,FALSE())+IF(VLOOKUP(D300,Schichten!$A$5:$G$24,4,FALSE())&lt;=VLOOKUP(D300,Schichten!$A$5:$G$24,3,FALSE()),1,0))</f>
        <v>46684.25</v>
      </c>
      <c r="I300" s="28" t="n">
        <f aca="false">IF($A300="","",IF(N(E299)&gt;0,H299,I299))</f>
        <v>46682.9166666667</v>
      </c>
      <c r="J300" s="27" t="n">
        <f aca="false">IF(OR(G300="",I300=""),"",(G300-I300)*24)</f>
        <v>24</v>
      </c>
      <c r="K300" s="21" t="n">
        <f aca="false">IF($A300="","",IF(N(E300)&gt;0,N(K299)+1,0))</f>
        <v>5</v>
      </c>
      <c r="L300" s="21" t="n">
        <f aca="false">IF($A300="","",IF(N(F300)&gt;0,N(L299)+1,0))</f>
        <v>1</v>
      </c>
      <c r="M300" s="21" t="str">
        <f aca="false">IF($A300="","",IF(WEEKDAY($A300,2)&lt;&gt;7,"",IF(AND(OR(G300="",N(G300)&gt;=$A300+16/24,N(H300)&lt;=$A300+6/24),OR(I300="",N(I300)&lt;=$A300+6/24)),1,0)))</f>
        <v/>
      </c>
      <c r="N300" s="26" t="str">
        <f aca="false">IF($A300="","",IF(INDEX(Muster!$C$7:$BF$7,1,MOD($A300-Einstellungen!$C$6,Einstellungen!$C$7)+1)="","-",INDEX(Muster!$C$7:$BF$7,1,MOD($A300-Einstellungen!$C$6,Einstellungen!$C$7)+1)))</f>
        <v>S</v>
      </c>
      <c r="O300" s="27" t="n">
        <f aca="false">IF($A300="","",IFERROR(VLOOKUP(N300,Schichten!$A$5:$G$24,6,FALSE()),0))</f>
        <v>8</v>
      </c>
      <c r="P300" s="27" t="n">
        <f aca="false">IF($A300="","",IFERROR(VLOOKUP(N300,Schichten!$A$5:$G$24,7,FALSE()),0))</f>
        <v>0</v>
      </c>
      <c r="Q300" s="28" t="n">
        <f aca="false">IF($A300="","",IF(N(O300)=0,"",$A300+VLOOKUP(N300,Schichten!$A$5:$G$24,3,FALSE())))</f>
        <v>46683.5833333333</v>
      </c>
      <c r="R300" s="28" t="n">
        <f aca="false">IF(Q300="","",$A300+VLOOKUP(N300,Schichten!$A$5:$G$24,4,FALSE())+IF(VLOOKUP(N300,Schichten!$A$5:$G$24,4,FALSE())&lt;=VLOOKUP(N300,Schichten!$A$5:$G$24,3,FALSE()),1,0))</f>
        <v>46683.9166666667</v>
      </c>
      <c r="S300" s="28" t="n">
        <f aca="false">IF($A300="","",IF(N(O299)&gt;0,R299,S299))</f>
        <v>46682.5833333333</v>
      </c>
      <c r="T300" s="27" t="n">
        <f aca="false">IF(OR(Q300="",S300=""),"",(Q300-S300)*24)</f>
        <v>24</v>
      </c>
      <c r="U300" s="21" t="n">
        <f aca="false">IF($A300="","",IF(N(O300)&gt;0,N(U299)+1,0))</f>
        <v>3</v>
      </c>
      <c r="V300" s="21" t="n">
        <f aca="false">IF($A300="","",IF(N(P300)&gt;0,N(V299)+1,0))</f>
        <v>0</v>
      </c>
      <c r="W300" s="21" t="str">
        <f aca="false">IF($A300="","",IF(WEEKDAY($A300,2)&lt;&gt;7,"",IF(AND(OR(Q300="",N(Q300)&gt;=$A300+16/24,N(R300)&lt;=$A300+6/24),OR(S300="",N(S300)&lt;=$A300+6/24)),1,0)))</f>
        <v/>
      </c>
      <c r="X300" s="26" t="str">
        <f aca="false">IF($A300="","",IF(INDEX(Muster!$C$8:$BF$8,1,MOD($A300-Einstellungen!$C$6,Einstellungen!$C$7)+1)="","-",INDEX(Muster!$C$8:$BF$8,1,MOD($A300-Einstellungen!$C$6,Einstellungen!$C$7)+1)))</f>
        <v>F</v>
      </c>
      <c r="Y300" s="27" t="n">
        <f aca="false">IF($A300="","",IFERROR(VLOOKUP(X300,Schichten!$A$5:$G$24,6,FALSE()),0))</f>
        <v>8</v>
      </c>
      <c r="Z300" s="27" t="n">
        <f aca="false">IF($A300="","",IFERROR(VLOOKUP(X300,Schichten!$A$5:$G$24,7,FALSE()),0))</f>
        <v>0</v>
      </c>
      <c r="AA300" s="28" t="n">
        <f aca="false">IF($A300="","",IF(N(Y300)=0,"",$A300+VLOOKUP(X300,Schichten!$A$5:$G$24,3,FALSE())))</f>
        <v>46683.25</v>
      </c>
      <c r="AB300" s="28" t="n">
        <f aca="false">IF(AA300="","",$A300+VLOOKUP(X300,Schichten!$A$5:$G$24,4,FALSE())+IF(VLOOKUP(X300,Schichten!$A$5:$G$24,4,FALSE())&lt;=VLOOKUP(X300,Schichten!$A$5:$G$24,3,FALSE()),1,0))</f>
        <v>46683.5833333333</v>
      </c>
      <c r="AC300" s="28" t="n">
        <f aca="false">IF($A300="","",IF(N(Y299)&gt;0,AB299,AC299))</f>
        <v>46681.25</v>
      </c>
      <c r="AD300" s="27" t="n">
        <f aca="false">IF(OR(AA300="",AC300=""),"",(AA300-AC300)*24)</f>
        <v>48</v>
      </c>
      <c r="AE300" s="21" t="n">
        <f aca="false">IF($A300="","",IF(N(Y300)&gt;0,N(AE299)+1,0))</f>
        <v>1</v>
      </c>
      <c r="AF300" s="21" t="n">
        <f aca="false">IF($A300="","",IF(N(Z300)&gt;0,N(AF299)+1,0))</f>
        <v>0</v>
      </c>
      <c r="AG300" s="21" t="str">
        <f aca="false">IF($A300="","",IF(WEEKDAY($A300,2)&lt;&gt;7,"",IF(AND(OR(AA300="",N(AA300)&gt;=$A300+16/24,N(AB300)&lt;=$A300+6/24),OR(AC300="",N(AC300)&lt;=$A300+6/24)),1,0)))</f>
        <v/>
      </c>
      <c r="AH300" s="26" t="str">
        <f aca="false">IF($A300="","",IF(INDEX(Muster!$C$9:$BF$9,1,MOD($A300-Einstellungen!$C$6,Einstellungen!$C$7)+1)="","-",INDEX(Muster!$C$9:$BF$9,1,MOD($A300-Einstellungen!$C$6,Einstellungen!$C$7)+1)))</f>
        <v>-</v>
      </c>
      <c r="AI300" s="27" t="n">
        <f aca="false">IF($A300="","",IFERROR(VLOOKUP(AH300,Schichten!$A$5:$G$24,6,FALSE()),0))</f>
        <v>0</v>
      </c>
      <c r="AJ300" s="27" t="n">
        <f aca="false">IF($A300="","",IFERROR(VLOOKUP(AH300,Schichten!$A$5:$G$24,7,FALSE()),0))</f>
        <v>0</v>
      </c>
      <c r="AK300" s="28" t="str">
        <f aca="false">IF($A300="","",IF(N(AI300)=0,"",$A300+VLOOKUP(AH300,Schichten!$A$5:$G$24,3,FALSE())))</f>
        <v/>
      </c>
      <c r="AL300" s="28" t="str">
        <f aca="false">IF(AK300="","",$A300+VLOOKUP(AH300,Schichten!$A$5:$G$24,4,FALSE())+IF(VLOOKUP(AH300,Schichten!$A$5:$G$24,4,FALSE())&lt;=VLOOKUP(AH300,Schichten!$A$5:$G$24,3,FALSE()),1,0))</f>
        <v/>
      </c>
      <c r="AM300" s="28" t="n">
        <f aca="false">IF($A300="","",IF(N(AI299)&gt;0,AL299,AM299))</f>
        <v>46683.25</v>
      </c>
      <c r="AN300" s="27" t="str">
        <f aca="false">IF(OR(AK300="",AM300=""),"",(AK300-AM300)*24)</f>
        <v/>
      </c>
      <c r="AO300" s="21" t="n">
        <f aca="false">IF($A300="","",IF(N(AI300)&gt;0,N(AO299)+1,0))</f>
        <v>0</v>
      </c>
      <c r="AP300" s="21" t="n">
        <f aca="false">IF($A300="","",IF(N(AJ300)&gt;0,N(AP299)+1,0))</f>
        <v>0</v>
      </c>
      <c r="AQ300" s="21" t="str">
        <f aca="false">IF($A300="","",IF(WEEKDAY($A300,2)&lt;&gt;7,"",IF(AND(OR(AK300="",N(AK300)&gt;=$A300+16/24,N(AL300)&lt;=$A300+6/24),OR(AM300="",N(AM300)&lt;=$A300+6/24)),1,0)))</f>
        <v/>
      </c>
      <c r="AR300" s="26" t="str">
        <f aca="false">IF($A300="","",IF(INDEX(Muster!$C$10:$BF$10,1,MOD($A300-Einstellungen!$C$6,Einstellungen!$C$7)+1)="","-",INDEX(Muster!$C$10:$BF$10,1,MOD($A300-Einstellungen!$C$6,Einstellungen!$C$7)+1)))</f>
        <v>-</v>
      </c>
      <c r="AS300" s="27" t="n">
        <f aca="false">IF($A300="","",IFERROR(VLOOKUP(AR300,Schichten!$A$5:$G$24,6,FALSE()),0))</f>
        <v>0</v>
      </c>
      <c r="AT300" s="27" t="n">
        <f aca="false">IF($A300="","",IFERROR(VLOOKUP(AR300,Schichten!$A$5:$G$24,7,FALSE()),0))</f>
        <v>0</v>
      </c>
      <c r="AU300" s="28" t="str">
        <f aca="false">IF($A300="","",IF(N(AS300)=0,"",$A300+VLOOKUP(AR300,Schichten!$A$5:$G$24,3,FALSE())))</f>
        <v/>
      </c>
      <c r="AV300" s="28" t="str">
        <f aca="false">IF(AU300="","",$A300+VLOOKUP(AR300,Schichten!$A$5:$G$24,4,FALSE())+IF(VLOOKUP(AR300,Schichten!$A$5:$G$24,4,FALSE())&lt;=VLOOKUP(AR300,Schichten!$A$5:$G$24,3,FALSE()),1,0))</f>
        <v/>
      </c>
      <c r="AW300" s="28" t="str">
        <f aca="false">IF($A300="","",IF(N(AS299)&gt;0,AV299,AW299))</f>
        <v/>
      </c>
      <c r="AX300" s="27" t="str">
        <f aca="false">IF(OR(AU300="",AW300=""),"",(AU300-AW300)*24)</f>
        <v/>
      </c>
      <c r="AY300" s="21" t="n">
        <f aca="false">IF($A300="","",IF(N(AS300)&gt;0,N(AY299)+1,0))</f>
        <v>0</v>
      </c>
      <c r="AZ300" s="21" t="n">
        <f aca="false">IF($A300="","",IF(N(AT300)&gt;0,N(AZ299)+1,0))</f>
        <v>0</v>
      </c>
      <c r="BA300" s="21" t="str">
        <f aca="false">IF($A300="","",IF(WEEKDAY($A300,2)&lt;&gt;7,"",IF(AND(OR(AU300="",N(AU300)&gt;=$A300+16/24,N(AV300)&lt;=$A300+6/24),OR(AW300="",N(AW300)&lt;=$A300+6/24)),1,0)))</f>
        <v/>
      </c>
    </row>
    <row r="301" customFormat="false" ht="15" hidden="false" customHeight="false" outlineLevel="0" collapsed="false">
      <c r="A301" s="25" t="n">
        <f aca="false">IF(YEAR(DATE(Einstellungen!$C$4,1,1)+296)=Einstellungen!$C$4,DATE(Einstellungen!$C$4,1,1)+296,"")</f>
        <v>46684</v>
      </c>
      <c r="B301" s="26" t="str">
        <f aca="false">IF($A301="","",CHOOSE(WEEKDAY($A301,2),"Mo","Di","Mi","Do","Fr","Sa","So"))</f>
        <v>So</v>
      </c>
      <c r="C301" s="26" t="n">
        <f aca="false">IF($A301="","",MONTH($A301))</f>
        <v>10</v>
      </c>
      <c r="D301" s="26" t="str">
        <f aca="false">IF($A301="","",IF(INDEX(Muster!$C$6:$BF$6,1,MOD($A301-Einstellungen!$C$6,Einstellungen!$C$7)+1)="","-",INDEX(Muster!$C$6:$BF$6,1,MOD($A301-Einstellungen!$C$6,Einstellungen!$C$7)+1)))</f>
        <v>N</v>
      </c>
      <c r="E301" s="27" t="n">
        <f aca="false">IF($A301="","",IFERROR(VLOOKUP(D301,Schichten!$A$5:$G$24,6,FALSE()),0))</f>
        <v>8</v>
      </c>
      <c r="F301" s="27" t="n">
        <f aca="false">IF($A301="","",IFERROR(VLOOKUP(D301,Schichten!$A$5:$G$24,7,FALSE()),0))</f>
        <v>7</v>
      </c>
      <c r="G301" s="28" t="n">
        <f aca="false">IF($A301="","",IF(N(E301)=0,"",$A301+VLOOKUP(D301,Schichten!$A$5:$G$24,3,FALSE())))</f>
        <v>46684.9166666667</v>
      </c>
      <c r="H301" s="28" t="n">
        <f aca="false">IF(G301="","",$A301+VLOOKUP(D301,Schichten!$A$5:$G$24,4,FALSE())+IF(VLOOKUP(D301,Schichten!$A$5:$G$24,4,FALSE())&lt;=VLOOKUP(D301,Schichten!$A$5:$G$24,3,FALSE()),1,0))</f>
        <v>46685.25</v>
      </c>
      <c r="I301" s="28" t="n">
        <f aca="false">IF($A301="","",IF(N(E300)&gt;0,H300,I300))</f>
        <v>46684.25</v>
      </c>
      <c r="J301" s="27" t="n">
        <f aca="false">IF(OR(G301="",I301=""),"",(G301-I301)*24)</f>
        <v>16</v>
      </c>
      <c r="K301" s="21" t="n">
        <f aca="false">IF($A301="","",IF(N(E301)&gt;0,N(K300)+1,0))</f>
        <v>6</v>
      </c>
      <c r="L301" s="21" t="n">
        <f aca="false">IF($A301="","",IF(N(F301)&gt;0,N(L300)+1,0))</f>
        <v>2</v>
      </c>
      <c r="M301" s="21" t="n">
        <f aca="false">IF($A301="","",IF(WEEKDAY($A301,2)&lt;&gt;7,"",IF(AND(OR(G301="",N(G301)&gt;=$A301+16/24,N(H301)&lt;=$A301+6/24),OR(I301="",N(I301)&lt;=$A301+6/24)),1,0)))</f>
        <v>1</v>
      </c>
      <c r="N301" s="26" t="str">
        <f aca="false">IF($A301="","",IF(INDEX(Muster!$C$7:$BF$7,1,MOD($A301-Einstellungen!$C$6,Einstellungen!$C$7)+1)="","-",INDEX(Muster!$C$7:$BF$7,1,MOD($A301-Einstellungen!$C$6,Einstellungen!$C$7)+1)))</f>
        <v>S</v>
      </c>
      <c r="O301" s="27" t="n">
        <f aca="false">IF($A301="","",IFERROR(VLOOKUP(N301,Schichten!$A$5:$G$24,6,FALSE()),0))</f>
        <v>8</v>
      </c>
      <c r="P301" s="27" t="n">
        <f aca="false">IF($A301="","",IFERROR(VLOOKUP(N301,Schichten!$A$5:$G$24,7,FALSE()),0))</f>
        <v>0</v>
      </c>
      <c r="Q301" s="28" t="n">
        <f aca="false">IF($A301="","",IF(N(O301)=0,"",$A301+VLOOKUP(N301,Schichten!$A$5:$G$24,3,FALSE())))</f>
        <v>46684.5833333333</v>
      </c>
      <c r="R301" s="28" t="n">
        <f aca="false">IF(Q301="","",$A301+VLOOKUP(N301,Schichten!$A$5:$G$24,4,FALSE())+IF(VLOOKUP(N301,Schichten!$A$5:$G$24,4,FALSE())&lt;=VLOOKUP(N301,Schichten!$A$5:$G$24,3,FALSE()),1,0))</f>
        <v>46684.9166666667</v>
      </c>
      <c r="S301" s="28" t="n">
        <f aca="false">IF($A301="","",IF(N(O300)&gt;0,R300,S300))</f>
        <v>46683.9166666667</v>
      </c>
      <c r="T301" s="27" t="n">
        <f aca="false">IF(OR(Q301="",S301=""),"",(Q301-S301)*24)</f>
        <v>16</v>
      </c>
      <c r="U301" s="21" t="n">
        <f aca="false">IF($A301="","",IF(N(O301)&gt;0,N(U300)+1,0))</f>
        <v>4</v>
      </c>
      <c r="V301" s="21" t="n">
        <f aca="false">IF($A301="","",IF(N(P301)&gt;0,N(V300)+1,0))</f>
        <v>0</v>
      </c>
      <c r="W301" s="21" t="n">
        <f aca="false">IF($A301="","",IF(WEEKDAY($A301,2)&lt;&gt;7,"",IF(AND(OR(Q301="",N(Q301)&gt;=$A301+16/24,N(R301)&lt;=$A301+6/24),OR(S301="",N(S301)&lt;=$A301+6/24)),1,0)))</f>
        <v>0</v>
      </c>
      <c r="X301" s="26" t="str">
        <f aca="false">IF($A301="","",IF(INDEX(Muster!$C$8:$BF$8,1,MOD($A301-Einstellungen!$C$6,Einstellungen!$C$7)+1)="","-",INDEX(Muster!$C$8:$BF$8,1,MOD($A301-Einstellungen!$C$6,Einstellungen!$C$7)+1)))</f>
        <v>F</v>
      </c>
      <c r="Y301" s="27" t="n">
        <f aca="false">IF($A301="","",IFERROR(VLOOKUP(X301,Schichten!$A$5:$G$24,6,FALSE()),0))</f>
        <v>8</v>
      </c>
      <c r="Z301" s="27" t="n">
        <f aca="false">IF($A301="","",IFERROR(VLOOKUP(X301,Schichten!$A$5:$G$24,7,FALSE()),0))</f>
        <v>0</v>
      </c>
      <c r="AA301" s="28" t="n">
        <f aca="false">IF($A301="","",IF(N(Y301)=0,"",$A301+VLOOKUP(X301,Schichten!$A$5:$G$24,3,FALSE())))</f>
        <v>46684.25</v>
      </c>
      <c r="AB301" s="28" t="n">
        <f aca="false">IF(AA301="","",$A301+VLOOKUP(X301,Schichten!$A$5:$G$24,4,FALSE())+IF(VLOOKUP(X301,Schichten!$A$5:$G$24,4,FALSE())&lt;=VLOOKUP(X301,Schichten!$A$5:$G$24,3,FALSE()),1,0))</f>
        <v>46684.5833333333</v>
      </c>
      <c r="AC301" s="28" t="n">
        <f aca="false">IF($A301="","",IF(N(Y300)&gt;0,AB300,AC300))</f>
        <v>46683.5833333333</v>
      </c>
      <c r="AD301" s="27" t="n">
        <f aca="false">IF(OR(AA301="",AC301=""),"",(AA301-AC301)*24)</f>
        <v>16</v>
      </c>
      <c r="AE301" s="21" t="n">
        <f aca="false">IF($A301="","",IF(N(Y301)&gt;0,N(AE300)+1,0))</f>
        <v>2</v>
      </c>
      <c r="AF301" s="21" t="n">
        <f aca="false">IF($A301="","",IF(N(Z301)&gt;0,N(AF300)+1,0))</f>
        <v>0</v>
      </c>
      <c r="AG301" s="21" t="n">
        <f aca="false">IF($A301="","",IF(WEEKDAY($A301,2)&lt;&gt;7,"",IF(AND(OR(AA301="",N(AA301)&gt;=$A301+16/24,N(AB301)&lt;=$A301+6/24),OR(AC301="",N(AC301)&lt;=$A301+6/24)),1,0)))</f>
        <v>0</v>
      </c>
      <c r="AH301" s="26" t="str">
        <f aca="false">IF($A301="","",IF(INDEX(Muster!$C$9:$BF$9,1,MOD($A301-Einstellungen!$C$6,Einstellungen!$C$7)+1)="","-",INDEX(Muster!$C$9:$BF$9,1,MOD($A301-Einstellungen!$C$6,Einstellungen!$C$7)+1)))</f>
        <v>-</v>
      </c>
      <c r="AI301" s="27" t="n">
        <f aca="false">IF($A301="","",IFERROR(VLOOKUP(AH301,Schichten!$A$5:$G$24,6,FALSE()),0))</f>
        <v>0</v>
      </c>
      <c r="AJ301" s="27" t="n">
        <f aca="false">IF($A301="","",IFERROR(VLOOKUP(AH301,Schichten!$A$5:$G$24,7,FALSE()),0))</f>
        <v>0</v>
      </c>
      <c r="AK301" s="28" t="str">
        <f aca="false">IF($A301="","",IF(N(AI301)=0,"",$A301+VLOOKUP(AH301,Schichten!$A$5:$G$24,3,FALSE())))</f>
        <v/>
      </c>
      <c r="AL301" s="28" t="str">
        <f aca="false">IF(AK301="","",$A301+VLOOKUP(AH301,Schichten!$A$5:$G$24,4,FALSE())+IF(VLOOKUP(AH301,Schichten!$A$5:$G$24,4,FALSE())&lt;=VLOOKUP(AH301,Schichten!$A$5:$G$24,3,FALSE()),1,0))</f>
        <v/>
      </c>
      <c r="AM301" s="28" t="n">
        <f aca="false">IF($A301="","",IF(N(AI300)&gt;0,AL300,AM300))</f>
        <v>46683.25</v>
      </c>
      <c r="AN301" s="27" t="str">
        <f aca="false">IF(OR(AK301="",AM301=""),"",(AK301-AM301)*24)</f>
        <v/>
      </c>
      <c r="AO301" s="21" t="n">
        <f aca="false">IF($A301="","",IF(N(AI301)&gt;0,N(AO300)+1,0))</f>
        <v>0</v>
      </c>
      <c r="AP301" s="21" t="n">
        <f aca="false">IF($A301="","",IF(N(AJ301)&gt;0,N(AP300)+1,0))</f>
        <v>0</v>
      </c>
      <c r="AQ301" s="21" t="n">
        <f aca="false">IF($A301="","",IF(WEEKDAY($A301,2)&lt;&gt;7,"",IF(AND(OR(AK301="",N(AK301)&gt;=$A301+16/24,N(AL301)&lt;=$A301+6/24),OR(AM301="",N(AM301)&lt;=$A301+6/24)),1,0)))</f>
        <v>1</v>
      </c>
      <c r="AR301" s="26" t="str">
        <f aca="false">IF($A301="","",IF(INDEX(Muster!$C$10:$BF$10,1,MOD($A301-Einstellungen!$C$6,Einstellungen!$C$7)+1)="","-",INDEX(Muster!$C$10:$BF$10,1,MOD($A301-Einstellungen!$C$6,Einstellungen!$C$7)+1)))</f>
        <v>-</v>
      </c>
      <c r="AS301" s="27" t="n">
        <f aca="false">IF($A301="","",IFERROR(VLOOKUP(AR301,Schichten!$A$5:$G$24,6,FALSE()),0))</f>
        <v>0</v>
      </c>
      <c r="AT301" s="27" t="n">
        <f aca="false">IF($A301="","",IFERROR(VLOOKUP(AR301,Schichten!$A$5:$G$24,7,FALSE()),0))</f>
        <v>0</v>
      </c>
      <c r="AU301" s="28" t="str">
        <f aca="false">IF($A301="","",IF(N(AS301)=0,"",$A301+VLOOKUP(AR301,Schichten!$A$5:$G$24,3,FALSE())))</f>
        <v/>
      </c>
      <c r="AV301" s="28" t="str">
        <f aca="false">IF(AU301="","",$A301+VLOOKUP(AR301,Schichten!$A$5:$G$24,4,FALSE())+IF(VLOOKUP(AR301,Schichten!$A$5:$G$24,4,FALSE())&lt;=VLOOKUP(AR301,Schichten!$A$5:$G$24,3,FALSE()),1,0))</f>
        <v/>
      </c>
      <c r="AW301" s="28" t="str">
        <f aca="false">IF($A301="","",IF(N(AS300)&gt;0,AV300,AW300))</f>
        <v/>
      </c>
      <c r="AX301" s="27" t="str">
        <f aca="false">IF(OR(AU301="",AW301=""),"",(AU301-AW301)*24)</f>
        <v/>
      </c>
      <c r="AY301" s="21" t="n">
        <f aca="false">IF($A301="","",IF(N(AS301)&gt;0,N(AY300)+1,0))</f>
        <v>0</v>
      </c>
      <c r="AZ301" s="21" t="n">
        <f aca="false">IF($A301="","",IF(N(AT301)&gt;0,N(AZ300)+1,0))</f>
        <v>0</v>
      </c>
      <c r="BA301" s="21" t="n">
        <f aca="false">IF($A301="","",IF(WEEKDAY($A301,2)&lt;&gt;7,"",IF(AND(OR(AU301="",N(AU301)&gt;=$A301+16/24,N(AV301)&lt;=$A301+6/24),OR(AW301="",N(AW301)&lt;=$A301+6/24)),1,0)))</f>
        <v>1</v>
      </c>
    </row>
    <row r="302" customFormat="false" ht="15" hidden="false" customHeight="false" outlineLevel="0" collapsed="false">
      <c r="A302" s="25" t="n">
        <f aca="false">IF(YEAR(DATE(Einstellungen!$C$4,1,1)+297)=Einstellungen!$C$4,DATE(Einstellungen!$C$4,1,1)+297,"")</f>
        <v>46685</v>
      </c>
      <c r="B302" s="26" t="str">
        <f aca="false">IF($A302="","",CHOOSE(WEEKDAY($A302,2),"Mo","Di","Mi","Do","Fr","Sa","So"))</f>
        <v>Mo</v>
      </c>
      <c r="C302" s="26" t="n">
        <f aca="false">IF($A302="","",MONTH($A302))</f>
        <v>10</v>
      </c>
      <c r="D302" s="26" t="str">
        <f aca="false">IF($A302="","",IF(INDEX(Muster!$C$6:$BF$6,1,MOD($A302-Einstellungen!$C$6,Einstellungen!$C$7)+1)="","-",INDEX(Muster!$C$6:$BF$6,1,MOD($A302-Einstellungen!$C$6,Einstellungen!$C$7)+1)))</f>
        <v>-</v>
      </c>
      <c r="E302" s="27" t="n">
        <f aca="false">IF($A302="","",IFERROR(VLOOKUP(D302,Schichten!$A$5:$G$24,6,FALSE()),0))</f>
        <v>0</v>
      </c>
      <c r="F302" s="27" t="n">
        <f aca="false">IF($A302="","",IFERROR(VLOOKUP(D302,Schichten!$A$5:$G$24,7,FALSE()),0))</f>
        <v>0</v>
      </c>
      <c r="G302" s="28" t="str">
        <f aca="false">IF($A302="","",IF(N(E302)=0,"",$A302+VLOOKUP(D302,Schichten!$A$5:$G$24,3,FALSE())))</f>
        <v/>
      </c>
      <c r="H302" s="28" t="str">
        <f aca="false">IF(G302="","",$A302+VLOOKUP(D302,Schichten!$A$5:$G$24,4,FALSE())+IF(VLOOKUP(D302,Schichten!$A$5:$G$24,4,FALSE())&lt;=VLOOKUP(D302,Schichten!$A$5:$G$24,3,FALSE()),1,0))</f>
        <v/>
      </c>
      <c r="I302" s="28" t="n">
        <f aca="false">IF($A302="","",IF(N(E301)&gt;0,H301,I301))</f>
        <v>46685.25</v>
      </c>
      <c r="J302" s="27" t="str">
        <f aca="false">IF(OR(G302="",I302=""),"",(G302-I302)*24)</f>
        <v/>
      </c>
      <c r="K302" s="21" t="n">
        <f aca="false">IF($A302="","",IF(N(E302)&gt;0,N(K301)+1,0))</f>
        <v>0</v>
      </c>
      <c r="L302" s="21" t="n">
        <f aca="false">IF($A302="","",IF(N(F302)&gt;0,N(L301)+1,0))</f>
        <v>0</v>
      </c>
      <c r="M302" s="21" t="str">
        <f aca="false">IF($A302="","",IF(WEEKDAY($A302,2)&lt;&gt;7,"",IF(AND(OR(G302="",N(G302)&gt;=$A302+16/24,N(H302)&lt;=$A302+6/24),OR(I302="",N(I302)&lt;=$A302+6/24)),1,0)))</f>
        <v/>
      </c>
      <c r="N302" s="26" t="str">
        <f aca="false">IF($A302="","",IF(INDEX(Muster!$C$7:$BF$7,1,MOD($A302-Einstellungen!$C$6,Einstellungen!$C$7)+1)="","-",INDEX(Muster!$C$7:$BF$7,1,MOD($A302-Einstellungen!$C$6,Einstellungen!$C$7)+1)))</f>
        <v>N</v>
      </c>
      <c r="O302" s="27" t="n">
        <f aca="false">IF($A302="","",IFERROR(VLOOKUP(N302,Schichten!$A$5:$G$24,6,FALSE()),0))</f>
        <v>8</v>
      </c>
      <c r="P302" s="27" t="n">
        <f aca="false">IF($A302="","",IFERROR(VLOOKUP(N302,Schichten!$A$5:$G$24,7,FALSE()),0))</f>
        <v>7</v>
      </c>
      <c r="Q302" s="28" t="n">
        <f aca="false">IF($A302="","",IF(N(O302)=0,"",$A302+VLOOKUP(N302,Schichten!$A$5:$G$24,3,FALSE())))</f>
        <v>46685.9166666667</v>
      </c>
      <c r="R302" s="28" t="n">
        <f aca="false">IF(Q302="","",$A302+VLOOKUP(N302,Schichten!$A$5:$G$24,4,FALSE())+IF(VLOOKUP(N302,Schichten!$A$5:$G$24,4,FALSE())&lt;=VLOOKUP(N302,Schichten!$A$5:$G$24,3,FALSE()),1,0))</f>
        <v>46686.25</v>
      </c>
      <c r="S302" s="28" t="n">
        <f aca="false">IF($A302="","",IF(N(O301)&gt;0,R301,S301))</f>
        <v>46684.9166666667</v>
      </c>
      <c r="T302" s="27" t="n">
        <f aca="false">IF(OR(Q302="",S302=""),"",(Q302-S302)*24)</f>
        <v>24</v>
      </c>
      <c r="U302" s="21" t="n">
        <f aca="false">IF($A302="","",IF(N(O302)&gt;0,N(U301)+1,0))</f>
        <v>5</v>
      </c>
      <c r="V302" s="21" t="n">
        <f aca="false">IF($A302="","",IF(N(P302)&gt;0,N(V301)+1,0))</f>
        <v>1</v>
      </c>
      <c r="W302" s="21" t="str">
        <f aca="false">IF($A302="","",IF(WEEKDAY($A302,2)&lt;&gt;7,"",IF(AND(OR(Q302="",N(Q302)&gt;=$A302+16/24,N(R302)&lt;=$A302+6/24),OR(S302="",N(S302)&lt;=$A302+6/24)),1,0)))</f>
        <v/>
      </c>
      <c r="X302" s="26" t="str">
        <f aca="false">IF($A302="","",IF(INDEX(Muster!$C$8:$BF$8,1,MOD($A302-Einstellungen!$C$6,Einstellungen!$C$7)+1)="","-",INDEX(Muster!$C$8:$BF$8,1,MOD($A302-Einstellungen!$C$6,Einstellungen!$C$7)+1)))</f>
        <v>S</v>
      </c>
      <c r="Y302" s="27" t="n">
        <f aca="false">IF($A302="","",IFERROR(VLOOKUP(X302,Schichten!$A$5:$G$24,6,FALSE()),0))</f>
        <v>8</v>
      </c>
      <c r="Z302" s="27" t="n">
        <f aca="false">IF($A302="","",IFERROR(VLOOKUP(X302,Schichten!$A$5:$G$24,7,FALSE()),0))</f>
        <v>0</v>
      </c>
      <c r="AA302" s="28" t="n">
        <f aca="false">IF($A302="","",IF(N(Y302)=0,"",$A302+VLOOKUP(X302,Schichten!$A$5:$G$24,3,FALSE())))</f>
        <v>46685.5833333333</v>
      </c>
      <c r="AB302" s="28" t="n">
        <f aca="false">IF(AA302="","",$A302+VLOOKUP(X302,Schichten!$A$5:$G$24,4,FALSE())+IF(VLOOKUP(X302,Schichten!$A$5:$G$24,4,FALSE())&lt;=VLOOKUP(X302,Schichten!$A$5:$G$24,3,FALSE()),1,0))</f>
        <v>46685.9166666667</v>
      </c>
      <c r="AC302" s="28" t="n">
        <f aca="false">IF($A302="","",IF(N(Y301)&gt;0,AB301,AC301))</f>
        <v>46684.5833333333</v>
      </c>
      <c r="AD302" s="27" t="n">
        <f aca="false">IF(OR(AA302="",AC302=""),"",(AA302-AC302)*24)</f>
        <v>24</v>
      </c>
      <c r="AE302" s="21" t="n">
        <f aca="false">IF($A302="","",IF(N(Y302)&gt;0,N(AE301)+1,0))</f>
        <v>3</v>
      </c>
      <c r="AF302" s="21" t="n">
        <f aca="false">IF($A302="","",IF(N(Z302)&gt;0,N(AF301)+1,0))</f>
        <v>0</v>
      </c>
      <c r="AG302" s="21" t="str">
        <f aca="false">IF($A302="","",IF(WEEKDAY($A302,2)&lt;&gt;7,"",IF(AND(OR(AA302="",N(AA302)&gt;=$A302+16/24,N(AB302)&lt;=$A302+6/24),OR(AC302="",N(AC302)&lt;=$A302+6/24)),1,0)))</f>
        <v/>
      </c>
      <c r="AH302" s="26" t="str">
        <f aca="false">IF($A302="","",IF(INDEX(Muster!$C$9:$BF$9,1,MOD($A302-Einstellungen!$C$6,Einstellungen!$C$7)+1)="","-",INDEX(Muster!$C$9:$BF$9,1,MOD($A302-Einstellungen!$C$6,Einstellungen!$C$7)+1)))</f>
        <v>F</v>
      </c>
      <c r="AI302" s="27" t="n">
        <f aca="false">IF($A302="","",IFERROR(VLOOKUP(AH302,Schichten!$A$5:$G$24,6,FALSE()),0))</f>
        <v>8</v>
      </c>
      <c r="AJ302" s="27" t="n">
        <f aca="false">IF($A302="","",IFERROR(VLOOKUP(AH302,Schichten!$A$5:$G$24,7,FALSE()),0))</f>
        <v>0</v>
      </c>
      <c r="AK302" s="28" t="n">
        <f aca="false">IF($A302="","",IF(N(AI302)=0,"",$A302+VLOOKUP(AH302,Schichten!$A$5:$G$24,3,FALSE())))</f>
        <v>46685.25</v>
      </c>
      <c r="AL302" s="28" t="n">
        <f aca="false">IF(AK302="","",$A302+VLOOKUP(AH302,Schichten!$A$5:$G$24,4,FALSE())+IF(VLOOKUP(AH302,Schichten!$A$5:$G$24,4,FALSE())&lt;=VLOOKUP(AH302,Schichten!$A$5:$G$24,3,FALSE()),1,0))</f>
        <v>46685.5833333333</v>
      </c>
      <c r="AM302" s="28" t="n">
        <f aca="false">IF($A302="","",IF(N(AI301)&gt;0,AL301,AM301))</f>
        <v>46683.25</v>
      </c>
      <c r="AN302" s="27" t="n">
        <f aca="false">IF(OR(AK302="",AM302=""),"",(AK302-AM302)*24)</f>
        <v>48</v>
      </c>
      <c r="AO302" s="21" t="n">
        <f aca="false">IF($A302="","",IF(N(AI302)&gt;0,N(AO301)+1,0))</f>
        <v>1</v>
      </c>
      <c r="AP302" s="21" t="n">
        <f aca="false">IF($A302="","",IF(N(AJ302)&gt;0,N(AP301)+1,0))</f>
        <v>0</v>
      </c>
      <c r="AQ302" s="21" t="str">
        <f aca="false">IF($A302="","",IF(WEEKDAY($A302,2)&lt;&gt;7,"",IF(AND(OR(AK302="",N(AK302)&gt;=$A302+16/24,N(AL302)&lt;=$A302+6/24),OR(AM302="",N(AM302)&lt;=$A302+6/24)),1,0)))</f>
        <v/>
      </c>
      <c r="AR302" s="26" t="str">
        <f aca="false">IF($A302="","",IF(INDEX(Muster!$C$10:$BF$10,1,MOD($A302-Einstellungen!$C$6,Einstellungen!$C$7)+1)="","-",INDEX(Muster!$C$10:$BF$10,1,MOD($A302-Einstellungen!$C$6,Einstellungen!$C$7)+1)))</f>
        <v>-</v>
      </c>
      <c r="AS302" s="27" t="n">
        <f aca="false">IF($A302="","",IFERROR(VLOOKUP(AR302,Schichten!$A$5:$G$24,6,FALSE()),0))</f>
        <v>0</v>
      </c>
      <c r="AT302" s="27" t="n">
        <f aca="false">IF($A302="","",IFERROR(VLOOKUP(AR302,Schichten!$A$5:$G$24,7,FALSE()),0))</f>
        <v>0</v>
      </c>
      <c r="AU302" s="28" t="str">
        <f aca="false">IF($A302="","",IF(N(AS302)=0,"",$A302+VLOOKUP(AR302,Schichten!$A$5:$G$24,3,FALSE())))</f>
        <v/>
      </c>
      <c r="AV302" s="28" t="str">
        <f aca="false">IF(AU302="","",$A302+VLOOKUP(AR302,Schichten!$A$5:$G$24,4,FALSE())+IF(VLOOKUP(AR302,Schichten!$A$5:$G$24,4,FALSE())&lt;=VLOOKUP(AR302,Schichten!$A$5:$G$24,3,FALSE()),1,0))</f>
        <v/>
      </c>
      <c r="AW302" s="28" t="str">
        <f aca="false">IF($A302="","",IF(N(AS301)&gt;0,AV301,AW301))</f>
        <v/>
      </c>
      <c r="AX302" s="27" t="str">
        <f aca="false">IF(OR(AU302="",AW302=""),"",(AU302-AW302)*24)</f>
        <v/>
      </c>
      <c r="AY302" s="21" t="n">
        <f aca="false">IF($A302="","",IF(N(AS302)&gt;0,N(AY301)+1,0))</f>
        <v>0</v>
      </c>
      <c r="AZ302" s="21" t="n">
        <f aca="false">IF($A302="","",IF(N(AT302)&gt;0,N(AZ301)+1,0))</f>
        <v>0</v>
      </c>
      <c r="BA302" s="21" t="str">
        <f aca="false">IF($A302="","",IF(WEEKDAY($A302,2)&lt;&gt;7,"",IF(AND(OR(AU302="",N(AU302)&gt;=$A302+16/24,N(AV302)&lt;=$A302+6/24),OR(AW302="",N(AW302)&lt;=$A302+6/24)),1,0)))</f>
        <v/>
      </c>
    </row>
    <row r="303" customFormat="false" ht="15" hidden="false" customHeight="false" outlineLevel="0" collapsed="false">
      <c r="A303" s="25" t="n">
        <f aca="false">IF(YEAR(DATE(Einstellungen!$C$4,1,1)+298)=Einstellungen!$C$4,DATE(Einstellungen!$C$4,1,1)+298,"")</f>
        <v>46686</v>
      </c>
      <c r="B303" s="26" t="str">
        <f aca="false">IF($A303="","",CHOOSE(WEEKDAY($A303,2),"Mo","Di","Mi","Do","Fr","Sa","So"))</f>
        <v>Di</v>
      </c>
      <c r="C303" s="26" t="n">
        <f aca="false">IF($A303="","",MONTH($A303))</f>
        <v>10</v>
      </c>
      <c r="D303" s="26" t="str">
        <f aca="false">IF($A303="","",IF(INDEX(Muster!$C$6:$BF$6,1,MOD($A303-Einstellungen!$C$6,Einstellungen!$C$7)+1)="","-",INDEX(Muster!$C$6:$BF$6,1,MOD($A303-Einstellungen!$C$6,Einstellungen!$C$7)+1)))</f>
        <v>-</v>
      </c>
      <c r="E303" s="27" t="n">
        <f aca="false">IF($A303="","",IFERROR(VLOOKUP(D303,Schichten!$A$5:$G$24,6,FALSE()),0))</f>
        <v>0</v>
      </c>
      <c r="F303" s="27" t="n">
        <f aca="false">IF($A303="","",IFERROR(VLOOKUP(D303,Schichten!$A$5:$G$24,7,FALSE()),0))</f>
        <v>0</v>
      </c>
      <c r="G303" s="28" t="str">
        <f aca="false">IF($A303="","",IF(N(E303)=0,"",$A303+VLOOKUP(D303,Schichten!$A$5:$G$24,3,FALSE())))</f>
        <v/>
      </c>
      <c r="H303" s="28" t="str">
        <f aca="false">IF(G303="","",$A303+VLOOKUP(D303,Schichten!$A$5:$G$24,4,FALSE())+IF(VLOOKUP(D303,Schichten!$A$5:$G$24,4,FALSE())&lt;=VLOOKUP(D303,Schichten!$A$5:$G$24,3,FALSE()),1,0))</f>
        <v/>
      </c>
      <c r="I303" s="28" t="n">
        <f aca="false">IF($A303="","",IF(N(E302)&gt;0,H302,I302))</f>
        <v>46685.25</v>
      </c>
      <c r="J303" s="27" t="str">
        <f aca="false">IF(OR(G303="",I303=""),"",(G303-I303)*24)</f>
        <v/>
      </c>
      <c r="K303" s="21" t="n">
        <f aca="false">IF($A303="","",IF(N(E303)&gt;0,N(K302)+1,0))</f>
        <v>0</v>
      </c>
      <c r="L303" s="21" t="n">
        <f aca="false">IF($A303="","",IF(N(F303)&gt;0,N(L302)+1,0))</f>
        <v>0</v>
      </c>
      <c r="M303" s="21" t="str">
        <f aca="false">IF($A303="","",IF(WEEKDAY($A303,2)&lt;&gt;7,"",IF(AND(OR(G303="",N(G303)&gt;=$A303+16/24,N(H303)&lt;=$A303+6/24),OR(I303="",N(I303)&lt;=$A303+6/24)),1,0)))</f>
        <v/>
      </c>
      <c r="N303" s="26" t="str">
        <f aca="false">IF($A303="","",IF(INDEX(Muster!$C$7:$BF$7,1,MOD($A303-Einstellungen!$C$6,Einstellungen!$C$7)+1)="","-",INDEX(Muster!$C$7:$BF$7,1,MOD($A303-Einstellungen!$C$6,Einstellungen!$C$7)+1)))</f>
        <v>N</v>
      </c>
      <c r="O303" s="27" t="n">
        <f aca="false">IF($A303="","",IFERROR(VLOOKUP(N303,Schichten!$A$5:$G$24,6,FALSE()),0))</f>
        <v>8</v>
      </c>
      <c r="P303" s="27" t="n">
        <f aca="false">IF($A303="","",IFERROR(VLOOKUP(N303,Schichten!$A$5:$G$24,7,FALSE()),0))</f>
        <v>7</v>
      </c>
      <c r="Q303" s="28" t="n">
        <f aca="false">IF($A303="","",IF(N(O303)=0,"",$A303+VLOOKUP(N303,Schichten!$A$5:$G$24,3,FALSE())))</f>
        <v>46686.9166666667</v>
      </c>
      <c r="R303" s="28" t="n">
        <f aca="false">IF(Q303="","",$A303+VLOOKUP(N303,Schichten!$A$5:$G$24,4,FALSE())+IF(VLOOKUP(N303,Schichten!$A$5:$G$24,4,FALSE())&lt;=VLOOKUP(N303,Schichten!$A$5:$G$24,3,FALSE()),1,0))</f>
        <v>46687.25</v>
      </c>
      <c r="S303" s="28" t="n">
        <f aca="false">IF($A303="","",IF(N(O302)&gt;0,R302,S302))</f>
        <v>46686.25</v>
      </c>
      <c r="T303" s="27" t="n">
        <f aca="false">IF(OR(Q303="",S303=""),"",(Q303-S303)*24)</f>
        <v>16</v>
      </c>
      <c r="U303" s="21" t="n">
        <f aca="false">IF($A303="","",IF(N(O303)&gt;0,N(U302)+1,0))</f>
        <v>6</v>
      </c>
      <c r="V303" s="21" t="n">
        <f aca="false">IF($A303="","",IF(N(P303)&gt;0,N(V302)+1,0))</f>
        <v>2</v>
      </c>
      <c r="W303" s="21" t="str">
        <f aca="false">IF($A303="","",IF(WEEKDAY($A303,2)&lt;&gt;7,"",IF(AND(OR(Q303="",N(Q303)&gt;=$A303+16/24,N(R303)&lt;=$A303+6/24),OR(S303="",N(S303)&lt;=$A303+6/24)),1,0)))</f>
        <v/>
      </c>
      <c r="X303" s="26" t="str">
        <f aca="false">IF($A303="","",IF(INDEX(Muster!$C$8:$BF$8,1,MOD($A303-Einstellungen!$C$6,Einstellungen!$C$7)+1)="","-",INDEX(Muster!$C$8:$BF$8,1,MOD($A303-Einstellungen!$C$6,Einstellungen!$C$7)+1)))</f>
        <v>S</v>
      </c>
      <c r="Y303" s="27" t="n">
        <f aca="false">IF($A303="","",IFERROR(VLOOKUP(X303,Schichten!$A$5:$G$24,6,FALSE()),0))</f>
        <v>8</v>
      </c>
      <c r="Z303" s="27" t="n">
        <f aca="false">IF($A303="","",IFERROR(VLOOKUP(X303,Schichten!$A$5:$G$24,7,FALSE()),0))</f>
        <v>0</v>
      </c>
      <c r="AA303" s="28" t="n">
        <f aca="false">IF($A303="","",IF(N(Y303)=0,"",$A303+VLOOKUP(X303,Schichten!$A$5:$G$24,3,FALSE())))</f>
        <v>46686.5833333333</v>
      </c>
      <c r="AB303" s="28" t="n">
        <f aca="false">IF(AA303="","",$A303+VLOOKUP(X303,Schichten!$A$5:$G$24,4,FALSE())+IF(VLOOKUP(X303,Schichten!$A$5:$G$24,4,FALSE())&lt;=VLOOKUP(X303,Schichten!$A$5:$G$24,3,FALSE()),1,0))</f>
        <v>46686.9166666667</v>
      </c>
      <c r="AC303" s="28" t="n">
        <f aca="false">IF($A303="","",IF(N(Y302)&gt;0,AB302,AC302))</f>
        <v>46685.9166666667</v>
      </c>
      <c r="AD303" s="27" t="n">
        <f aca="false">IF(OR(AA303="",AC303=""),"",(AA303-AC303)*24)</f>
        <v>16</v>
      </c>
      <c r="AE303" s="21" t="n">
        <f aca="false">IF($A303="","",IF(N(Y303)&gt;0,N(AE302)+1,0))</f>
        <v>4</v>
      </c>
      <c r="AF303" s="21" t="n">
        <f aca="false">IF($A303="","",IF(N(Z303)&gt;0,N(AF302)+1,0))</f>
        <v>0</v>
      </c>
      <c r="AG303" s="21" t="str">
        <f aca="false">IF($A303="","",IF(WEEKDAY($A303,2)&lt;&gt;7,"",IF(AND(OR(AA303="",N(AA303)&gt;=$A303+16/24,N(AB303)&lt;=$A303+6/24),OR(AC303="",N(AC303)&lt;=$A303+6/24)),1,0)))</f>
        <v/>
      </c>
      <c r="AH303" s="26" t="str">
        <f aca="false">IF($A303="","",IF(INDEX(Muster!$C$9:$BF$9,1,MOD($A303-Einstellungen!$C$6,Einstellungen!$C$7)+1)="","-",INDEX(Muster!$C$9:$BF$9,1,MOD($A303-Einstellungen!$C$6,Einstellungen!$C$7)+1)))</f>
        <v>F</v>
      </c>
      <c r="AI303" s="27" t="n">
        <f aca="false">IF($A303="","",IFERROR(VLOOKUP(AH303,Schichten!$A$5:$G$24,6,FALSE()),0))</f>
        <v>8</v>
      </c>
      <c r="AJ303" s="27" t="n">
        <f aca="false">IF($A303="","",IFERROR(VLOOKUP(AH303,Schichten!$A$5:$G$24,7,FALSE()),0))</f>
        <v>0</v>
      </c>
      <c r="AK303" s="28" t="n">
        <f aca="false">IF($A303="","",IF(N(AI303)=0,"",$A303+VLOOKUP(AH303,Schichten!$A$5:$G$24,3,FALSE())))</f>
        <v>46686.25</v>
      </c>
      <c r="AL303" s="28" t="n">
        <f aca="false">IF(AK303="","",$A303+VLOOKUP(AH303,Schichten!$A$5:$G$24,4,FALSE())+IF(VLOOKUP(AH303,Schichten!$A$5:$G$24,4,FALSE())&lt;=VLOOKUP(AH303,Schichten!$A$5:$G$24,3,FALSE()),1,0))</f>
        <v>46686.5833333333</v>
      </c>
      <c r="AM303" s="28" t="n">
        <f aca="false">IF($A303="","",IF(N(AI302)&gt;0,AL302,AM302))</f>
        <v>46685.5833333333</v>
      </c>
      <c r="AN303" s="27" t="n">
        <f aca="false">IF(OR(AK303="",AM303=""),"",(AK303-AM303)*24)</f>
        <v>16</v>
      </c>
      <c r="AO303" s="21" t="n">
        <f aca="false">IF($A303="","",IF(N(AI303)&gt;0,N(AO302)+1,0))</f>
        <v>2</v>
      </c>
      <c r="AP303" s="21" t="n">
        <f aca="false">IF($A303="","",IF(N(AJ303)&gt;0,N(AP302)+1,0))</f>
        <v>0</v>
      </c>
      <c r="AQ303" s="21" t="str">
        <f aca="false">IF($A303="","",IF(WEEKDAY($A303,2)&lt;&gt;7,"",IF(AND(OR(AK303="",N(AK303)&gt;=$A303+16/24,N(AL303)&lt;=$A303+6/24),OR(AM303="",N(AM303)&lt;=$A303+6/24)),1,0)))</f>
        <v/>
      </c>
      <c r="AR303" s="26" t="str">
        <f aca="false">IF($A303="","",IF(INDEX(Muster!$C$10:$BF$10,1,MOD($A303-Einstellungen!$C$6,Einstellungen!$C$7)+1)="","-",INDEX(Muster!$C$10:$BF$10,1,MOD($A303-Einstellungen!$C$6,Einstellungen!$C$7)+1)))</f>
        <v>-</v>
      </c>
      <c r="AS303" s="27" t="n">
        <f aca="false">IF($A303="","",IFERROR(VLOOKUP(AR303,Schichten!$A$5:$G$24,6,FALSE()),0))</f>
        <v>0</v>
      </c>
      <c r="AT303" s="27" t="n">
        <f aca="false">IF($A303="","",IFERROR(VLOOKUP(AR303,Schichten!$A$5:$G$24,7,FALSE()),0))</f>
        <v>0</v>
      </c>
      <c r="AU303" s="28" t="str">
        <f aca="false">IF($A303="","",IF(N(AS303)=0,"",$A303+VLOOKUP(AR303,Schichten!$A$5:$G$24,3,FALSE())))</f>
        <v/>
      </c>
      <c r="AV303" s="28" t="str">
        <f aca="false">IF(AU303="","",$A303+VLOOKUP(AR303,Schichten!$A$5:$G$24,4,FALSE())+IF(VLOOKUP(AR303,Schichten!$A$5:$G$24,4,FALSE())&lt;=VLOOKUP(AR303,Schichten!$A$5:$G$24,3,FALSE()),1,0))</f>
        <v/>
      </c>
      <c r="AW303" s="28" t="str">
        <f aca="false">IF($A303="","",IF(N(AS302)&gt;0,AV302,AW302))</f>
        <v/>
      </c>
      <c r="AX303" s="27" t="str">
        <f aca="false">IF(OR(AU303="",AW303=""),"",(AU303-AW303)*24)</f>
        <v/>
      </c>
      <c r="AY303" s="21" t="n">
        <f aca="false">IF($A303="","",IF(N(AS303)&gt;0,N(AY302)+1,0))</f>
        <v>0</v>
      </c>
      <c r="AZ303" s="21" t="n">
        <f aca="false">IF($A303="","",IF(N(AT303)&gt;0,N(AZ302)+1,0))</f>
        <v>0</v>
      </c>
      <c r="BA303" s="21" t="str">
        <f aca="false">IF($A303="","",IF(WEEKDAY($A303,2)&lt;&gt;7,"",IF(AND(OR(AU303="",N(AU303)&gt;=$A303+16/24,N(AV303)&lt;=$A303+6/24),OR(AW303="",N(AW303)&lt;=$A303+6/24)),1,0)))</f>
        <v/>
      </c>
    </row>
    <row r="304" customFormat="false" ht="15" hidden="false" customHeight="false" outlineLevel="0" collapsed="false">
      <c r="A304" s="25" t="n">
        <f aca="false">IF(YEAR(DATE(Einstellungen!$C$4,1,1)+299)=Einstellungen!$C$4,DATE(Einstellungen!$C$4,1,1)+299,"")</f>
        <v>46687</v>
      </c>
      <c r="B304" s="26" t="str">
        <f aca="false">IF($A304="","",CHOOSE(WEEKDAY($A304,2),"Mo","Di","Mi","Do","Fr","Sa","So"))</f>
        <v>Mi</v>
      </c>
      <c r="C304" s="26" t="n">
        <f aca="false">IF($A304="","",MONTH($A304))</f>
        <v>10</v>
      </c>
      <c r="D304" s="26" t="str">
        <f aca="false">IF($A304="","",IF(INDEX(Muster!$C$6:$BF$6,1,MOD($A304-Einstellungen!$C$6,Einstellungen!$C$7)+1)="","-",INDEX(Muster!$C$6:$BF$6,1,MOD($A304-Einstellungen!$C$6,Einstellungen!$C$7)+1)))</f>
        <v>F</v>
      </c>
      <c r="E304" s="27" t="n">
        <f aca="false">IF($A304="","",IFERROR(VLOOKUP(D304,Schichten!$A$5:$G$24,6,FALSE()),0))</f>
        <v>8</v>
      </c>
      <c r="F304" s="27" t="n">
        <f aca="false">IF($A304="","",IFERROR(VLOOKUP(D304,Schichten!$A$5:$G$24,7,FALSE()),0))</f>
        <v>0</v>
      </c>
      <c r="G304" s="28" t="n">
        <f aca="false">IF($A304="","",IF(N(E304)=0,"",$A304+VLOOKUP(D304,Schichten!$A$5:$G$24,3,FALSE())))</f>
        <v>46687.25</v>
      </c>
      <c r="H304" s="28" t="n">
        <f aca="false">IF(G304="","",$A304+VLOOKUP(D304,Schichten!$A$5:$G$24,4,FALSE())+IF(VLOOKUP(D304,Schichten!$A$5:$G$24,4,FALSE())&lt;=VLOOKUP(D304,Schichten!$A$5:$G$24,3,FALSE()),1,0))</f>
        <v>46687.5833333333</v>
      </c>
      <c r="I304" s="28" t="n">
        <f aca="false">IF($A304="","",IF(N(E303)&gt;0,H303,I303))</f>
        <v>46685.25</v>
      </c>
      <c r="J304" s="27" t="n">
        <f aca="false">IF(OR(G304="",I304=""),"",(G304-I304)*24)</f>
        <v>48</v>
      </c>
      <c r="K304" s="21" t="n">
        <f aca="false">IF($A304="","",IF(N(E304)&gt;0,N(K303)+1,0))</f>
        <v>1</v>
      </c>
      <c r="L304" s="21" t="n">
        <f aca="false">IF($A304="","",IF(N(F304)&gt;0,N(L303)+1,0))</f>
        <v>0</v>
      </c>
      <c r="M304" s="21" t="str">
        <f aca="false">IF($A304="","",IF(WEEKDAY($A304,2)&lt;&gt;7,"",IF(AND(OR(G304="",N(G304)&gt;=$A304+16/24,N(H304)&lt;=$A304+6/24),OR(I304="",N(I304)&lt;=$A304+6/24)),1,0)))</f>
        <v/>
      </c>
      <c r="N304" s="26" t="str">
        <f aca="false">IF($A304="","",IF(INDEX(Muster!$C$7:$BF$7,1,MOD($A304-Einstellungen!$C$6,Einstellungen!$C$7)+1)="","-",INDEX(Muster!$C$7:$BF$7,1,MOD($A304-Einstellungen!$C$6,Einstellungen!$C$7)+1)))</f>
        <v>-</v>
      </c>
      <c r="O304" s="27" t="n">
        <f aca="false">IF($A304="","",IFERROR(VLOOKUP(N304,Schichten!$A$5:$G$24,6,FALSE()),0))</f>
        <v>0</v>
      </c>
      <c r="P304" s="27" t="n">
        <f aca="false">IF($A304="","",IFERROR(VLOOKUP(N304,Schichten!$A$5:$G$24,7,FALSE()),0))</f>
        <v>0</v>
      </c>
      <c r="Q304" s="28" t="str">
        <f aca="false">IF($A304="","",IF(N(O304)=0,"",$A304+VLOOKUP(N304,Schichten!$A$5:$G$24,3,FALSE())))</f>
        <v/>
      </c>
      <c r="R304" s="28" t="str">
        <f aca="false">IF(Q304="","",$A304+VLOOKUP(N304,Schichten!$A$5:$G$24,4,FALSE())+IF(VLOOKUP(N304,Schichten!$A$5:$G$24,4,FALSE())&lt;=VLOOKUP(N304,Schichten!$A$5:$G$24,3,FALSE()),1,0))</f>
        <v/>
      </c>
      <c r="S304" s="28" t="n">
        <f aca="false">IF($A304="","",IF(N(O303)&gt;0,R303,S303))</f>
        <v>46687.25</v>
      </c>
      <c r="T304" s="27" t="str">
        <f aca="false">IF(OR(Q304="",S304=""),"",(Q304-S304)*24)</f>
        <v/>
      </c>
      <c r="U304" s="21" t="n">
        <f aca="false">IF($A304="","",IF(N(O304)&gt;0,N(U303)+1,0))</f>
        <v>0</v>
      </c>
      <c r="V304" s="21" t="n">
        <f aca="false">IF($A304="","",IF(N(P304)&gt;0,N(V303)+1,0))</f>
        <v>0</v>
      </c>
      <c r="W304" s="21" t="str">
        <f aca="false">IF($A304="","",IF(WEEKDAY($A304,2)&lt;&gt;7,"",IF(AND(OR(Q304="",N(Q304)&gt;=$A304+16/24,N(R304)&lt;=$A304+6/24),OR(S304="",N(S304)&lt;=$A304+6/24)),1,0)))</f>
        <v/>
      </c>
      <c r="X304" s="26" t="str">
        <f aca="false">IF($A304="","",IF(INDEX(Muster!$C$8:$BF$8,1,MOD($A304-Einstellungen!$C$6,Einstellungen!$C$7)+1)="","-",INDEX(Muster!$C$8:$BF$8,1,MOD($A304-Einstellungen!$C$6,Einstellungen!$C$7)+1)))</f>
        <v>N</v>
      </c>
      <c r="Y304" s="27" t="n">
        <f aca="false">IF($A304="","",IFERROR(VLOOKUP(X304,Schichten!$A$5:$G$24,6,FALSE()),0))</f>
        <v>8</v>
      </c>
      <c r="Z304" s="27" t="n">
        <f aca="false">IF($A304="","",IFERROR(VLOOKUP(X304,Schichten!$A$5:$G$24,7,FALSE()),0))</f>
        <v>7</v>
      </c>
      <c r="AA304" s="28" t="n">
        <f aca="false">IF($A304="","",IF(N(Y304)=0,"",$A304+VLOOKUP(X304,Schichten!$A$5:$G$24,3,FALSE())))</f>
        <v>46687.9166666667</v>
      </c>
      <c r="AB304" s="28" t="n">
        <f aca="false">IF(AA304="","",$A304+VLOOKUP(X304,Schichten!$A$5:$G$24,4,FALSE())+IF(VLOOKUP(X304,Schichten!$A$5:$G$24,4,FALSE())&lt;=VLOOKUP(X304,Schichten!$A$5:$G$24,3,FALSE()),1,0))</f>
        <v>46688.25</v>
      </c>
      <c r="AC304" s="28" t="n">
        <f aca="false">IF($A304="","",IF(N(Y303)&gt;0,AB303,AC303))</f>
        <v>46686.9166666667</v>
      </c>
      <c r="AD304" s="27" t="n">
        <f aca="false">IF(OR(AA304="",AC304=""),"",(AA304-AC304)*24)</f>
        <v>24</v>
      </c>
      <c r="AE304" s="21" t="n">
        <f aca="false">IF($A304="","",IF(N(Y304)&gt;0,N(AE303)+1,0))</f>
        <v>5</v>
      </c>
      <c r="AF304" s="21" t="n">
        <f aca="false">IF($A304="","",IF(N(Z304)&gt;0,N(AF303)+1,0))</f>
        <v>1</v>
      </c>
      <c r="AG304" s="21" t="str">
        <f aca="false">IF($A304="","",IF(WEEKDAY($A304,2)&lt;&gt;7,"",IF(AND(OR(AA304="",N(AA304)&gt;=$A304+16/24,N(AB304)&lt;=$A304+6/24),OR(AC304="",N(AC304)&lt;=$A304+6/24)),1,0)))</f>
        <v/>
      </c>
      <c r="AH304" s="26" t="str">
        <f aca="false">IF($A304="","",IF(INDEX(Muster!$C$9:$BF$9,1,MOD($A304-Einstellungen!$C$6,Einstellungen!$C$7)+1)="","-",INDEX(Muster!$C$9:$BF$9,1,MOD($A304-Einstellungen!$C$6,Einstellungen!$C$7)+1)))</f>
        <v>S</v>
      </c>
      <c r="AI304" s="27" t="n">
        <f aca="false">IF($A304="","",IFERROR(VLOOKUP(AH304,Schichten!$A$5:$G$24,6,FALSE()),0))</f>
        <v>8</v>
      </c>
      <c r="AJ304" s="27" t="n">
        <f aca="false">IF($A304="","",IFERROR(VLOOKUP(AH304,Schichten!$A$5:$G$24,7,FALSE()),0))</f>
        <v>0</v>
      </c>
      <c r="AK304" s="28" t="n">
        <f aca="false">IF($A304="","",IF(N(AI304)=0,"",$A304+VLOOKUP(AH304,Schichten!$A$5:$G$24,3,FALSE())))</f>
        <v>46687.5833333333</v>
      </c>
      <c r="AL304" s="28" t="n">
        <f aca="false">IF(AK304="","",$A304+VLOOKUP(AH304,Schichten!$A$5:$G$24,4,FALSE())+IF(VLOOKUP(AH304,Schichten!$A$5:$G$24,4,FALSE())&lt;=VLOOKUP(AH304,Schichten!$A$5:$G$24,3,FALSE()),1,0))</f>
        <v>46687.9166666667</v>
      </c>
      <c r="AM304" s="28" t="n">
        <f aca="false">IF($A304="","",IF(N(AI303)&gt;0,AL303,AM303))</f>
        <v>46686.5833333333</v>
      </c>
      <c r="AN304" s="27" t="n">
        <f aca="false">IF(OR(AK304="",AM304=""),"",(AK304-AM304)*24)</f>
        <v>24</v>
      </c>
      <c r="AO304" s="21" t="n">
        <f aca="false">IF($A304="","",IF(N(AI304)&gt;0,N(AO303)+1,0))</f>
        <v>3</v>
      </c>
      <c r="AP304" s="21" t="n">
        <f aca="false">IF($A304="","",IF(N(AJ304)&gt;0,N(AP303)+1,0))</f>
        <v>0</v>
      </c>
      <c r="AQ304" s="21" t="str">
        <f aca="false">IF($A304="","",IF(WEEKDAY($A304,2)&lt;&gt;7,"",IF(AND(OR(AK304="",N(AK304)&gt;=$A304+16/24,N(AL304)&lt;=$A304+6/24),OR(AM304="",N(AM304)&lt;=$A304+6/24)),1,0)))</f>
        <v/>
      </c>
      <c r="AR304" s="26" t="str">
        <f aca="false">IF($A304="","",IF(INDEX(Muster!$C$10:$BF$10,1,MOD($A304-Einstellungen!$C$6,Einstellungen!$C$7)+1)="","-",INDEX(Muster!$C$10:$BF$10,1,MOD($A304-Einstellungen!$C$6,Einstellungen!$C$7)+1)))</f>
        <v>-</v>
      </c>
      <c r="AS304" s="27" t="n">
        <f aca="false">IF($A304="","",IFERROR(VLOOKUP(AR304,Schichten!$A$5:$G$24,6,FALSE()),0))</f>
        <v>0</v>
      </c>
      <c r="AT304" s="27" t="n">
        <f aca="false">IF($A304="","",IFERROR(VLOOKUP(AR304,Schichten!$A$5:$G$24,7,FALSE()),0))</f>
        <v>0</v>
      </c>
      <c r="AU304" s="28" t="str">
        <f aca="false">IF($A304="","",IF(N(AS304)=0,"",$A304+VLOOKUP(AR304,Schichten!$A$5:$G$24,3,FALSE())))</f>
        <v/>
      </c>
      <c r="AV304" s="28" t="str">
        <f aca="false">IF(AU304="","",$A304+VLOOKUP(AR304,Schichten!$A$5:$G$24,4,FALSE())+IF(VLOOKUP(AR304,Schichten!$A$5:$G$24,4,FALSE())&lt;=VLOOKUP(AR304,Schichten!$A$5:$G$24,3,FALSE()),1,0))</f>
        <v/>
      </c>
      <c r="AW304" s="28" t="str">
        <f aca="false">IF($A304="","",IF(N(AS303)&gt;0,AV303,AW303))</f>
        <v/>
      </c>
      <c r="AX304" s="27" t="str">
        <f aca="false">IF(OR(AU304="",AW304=""),"",(AU304-AW304)*24)</f>
        <v/>
      </c>
      <c r="AY304" s="21" t="n">
        <f aca="false">IF($A304="","",IF(N(AS304)&gt;0,N(AY303)+1,0))</f>
        <v>0</v>
      </c>
      <c r="AZ304" s="21" t="n">
        <f aca="false">IF($A304="","",IF(N(AT304)&gt;0,N(AZ303)+1,0))</f>
        <v>0</v>
      </c>
      <c r="BA304" s="21" t="str">
        <f aca="false">IF($A304="","",IF(WEEKDAY($A304,2)&lt;&gt;7,"",IF(AND(OR(AU304="",N(AU304)&gt;=$A304+16/24,N(AV304)&lt;=$A304+6/24),OR(AW304="",N(AW304)&lt;=$A304+6/24)),1,0)))</f>
        <v/>
      </c>
    </row>
    <row r="305" customFormat="false" ht="15" hidden="false" customHeight="false" outlineLevel="0" collapsed="false">
      <c r="A305" s="25" t="n">
        <f aca="false">IF(YEAR(DATE(Einstellungen!$C$4,1,1)+300)=Einstellungen!$C$4,DATE(Einstellungen!$C$4,1,1)+300,"")</f>
        <v>46688</v>
      </c>
      <c r="B305" s="26" t="str">
        <f aca="false">IF($A305="","",CHOOSE(WEEKDAY($A305,2),"Mo","Di","Mi","Do","Fr","Sa","So"))</f>
        <v>Do</v>
      </c>
      <c r="C305" s="26" t="n">
        <f aca="false">IF($A305="","",MONTH($A305))</f>
        <v>10</v>
      </c>
      <c r="D305" s="26" t="str">
        <f aca="false">IF($A305="","",IF(INDEX(Muster!$C$6:$BF$6,1,MOD($A305-Einstellungen!$C$6,Einstellungen!$C$7)+1)="","-",INDEX(Muster!$C$6:$BF$6,1,MOD($A305-Einstellungen!$C$6,Einstellungen!$C$7)+1)))</f>
        <v>F</v>
      </c>
      <c r="E305" s="27" t="n">
        <f aca="false">IF($A305="","",IFERROR(VLOOKUP(D305,Schichten!$A$5:$G$24,6,FALSE()),0))</f>
        <v>8</v>
      </c>
      <c r="F305" s="27" t="n">
        <f aca="false">IF($A305="","",IFERROR(VLOOKUP(D305,Schichten!$A$5:$G$24,7,FALSE()),0))</f>
        <v>0</v>
      </c>
      <c r="G305" s="28" t="n">
        <f aca="false">IF($A305="","",IF(N(E305)=0,"",$A305+VLOOKUP(D305,Schichten!$A$5:$G$24,3,FALSE())))</f>
        <v>46688.25</v>
      </c>
      <c r="H305" s="28" t="n">
        <f aca="false">IF(G305="","",$A305+VLOOKUP(D305,Schichten!$A$5:$G$24,4,FALSE())+IF(VLOOKUP(D305,Schichten!$A$5:$G$24,4,FALSE())&lt;=VLOOKUP(D305,Schichten!$A$5:$G$24,3,FALSE()),1,0))</f>
        <v>46688.5833333333</v>
      </c>
      <c r="I305" s="28" t="n">
        <f aca="false">IF($A305="","",IF(N(E304)&gt;0,H304,I304))</f>
        <v>46687.5833333333</v>
      </c>
      <c r="J305" s="27" t="n">
        <f aca="false">IF(OR(G305="",I305=""),"",(G305-I305)*24)</f>
        <v>16</v>
      </c>
      <c r="K305" s="21" t="n">
        <f aca="false">IF($A305="","",IF(N(E305)&gt;0,N(K304)+1,0))</f>
        <v>2</v>
      </c>
      <c r="L305" s="21" t="n">
        <f aca="false">IF($A305="","",IF(N(F305)&gt;0,N(L304)+1,0))</f>
        <v>0</v>
      </c>
      <c r="M305" s="21" t="str">
        <f aca="false">IF($A305="","",IF(WEEKDAY($A305,2)&lt;&gt;7,"",IF(AND(OR(G305="",N(G305)&gt;=$A305+16/24,N(H305)&lt;=$A305+6/24),OR(I305="",N(I305)&lt;=$A305+6/24)),1,0)))</f>
        <v/>
      </c>
      <c r="N305" s="26" t="str">
        <f aca="false">IF($A305="","",IF(INDEX(Muster!$C$7:$BF$7,1,MOD($A305-Einstellungen!$C$6,Einstellungen!$C$7)+1)="","-",INDEX(Muster!$C$7:$BF$7,1,MOD($A305-Einstellungen!$C$6,Einstellungen!$C$7)+1)))</f>
        <v>-</v>
      </c>
      <c r="O305" s="27" t="n">
        <f aca="false">IF($A305="","",IFERROR(VLOOKUP(N305,Schichten!$A$5:$G$24,6,FALSE()),0))</f>
        <v>0</v>
      </c>
      <c r="P305" s="27" t="n">
        <f aca="false">IF($A305="","",IFERROR(VLOOKUP(N305,Schichten!$A$5:$G$24,7,FALSE()),0))</f>
        <v>0</v>
      </c>
      <c r="Q305" s="28" t="str">
        <f aca="false">IF($A305="","",IF(N(O305)=0,"",$A305+VLOOKUP(N305,Schichten!$A$5:$G$24,3,FALSE())))</f>
        <v/>
      </c>
      <c r="R305" s="28" t="str">
        <f aca="false">IF(Q305="","",$A305+VLOOKUP(N305,Schichten!$A$5:$G$24,4,FALSE())+IF(VLOOKUP(N305,Schichten!$A$5:$G$24,4,FALSE())&lt;=VLOOKUP(N305,Schichten!$A$5:$G$24,3,FALSE()),1,0))</f>
        <v/>
      </c>
      <c r="S305" s="28" t="n">
        <f aca="false">IF($A305="","",IF(N(O304)&gt;0,R304,S304))</f>
        <v>46687.25</v>
      </c>
      <c r="T305" s="27" t="str">
        <f aca="false">IF(OR(Q305="",S305=""),"",(Q305-S305)*24)</f>
        <v/>
      </c>
      <c r="U305" s="21" t="n">
        <f aca="false">IF($A305="","",IF(N(O305)&gt;0,N(U304)+1,0))</f>
        <v>0</v>
      </c>
      <c r="V305" s="21" t="n">
        <f aca="false">IF($A305="","",IF(N(P305)&gt;0,N(V304)+1,0))</f>
        <v>0</v>
      </c>
      <c r="W305" s="21" t="str">
        <f aca="false">IF($A305="","",IF(WEEKDAY($A305,2)&lt;&gt;7,"",IF(AND(OR(Q305="",N(Q305)&gt;=$A305+16/24,N(R305)&lt;=$A305+6/24),OR(S305="",N(S305)&lt;=$A305+6/24)),1,0)))</f>
        <v/>
      </c>
      <c r="X305" s="26" t="str">
        <f aca="false">IF($A305="","",IF(INDEX(Muster!$C$8:$BF$8,1,MOD($A305-Einstellungen!$C$6,Einstellungen!$C$7)+1)="","-",INDEX(Muster!$C$8:$BF$8,1,MOD($A305-Einstellungen!$C$6,Einstellungen!$C$7)+1)))</f>
        <v>N</v>
      </c>
      <c r="Y305" s="27" t="n">
        <f aca="false">IF($A305="","",IFERROR(VLOOKUP(X305,Schichten!$A$5:$G$24,6,FALSE()),0))</f>
        <v>8</v>
      </c>
      <c r="Z305" s="27" t="n">
        <f aca="false">IF($A305="","",IFERROR(VLOOKUP(X305,Schichten!$A$5:$G$24,7,FALSE()),0))</f>
        <v>7</v>
      </c>
      <c r="AA305" s="28" t="n">
        <f aca="false">IF($A305="","",IF(N(Y305)=0,"",$A305+VLOOKUP(X305,Schichten!$A$5:$G$24,3,FALSE())))</f>
        <v>46688.9166666667</v>
      </c>
      <c r="AB305" s="28" t="n">
        <f aca="false">IF(AA305="","",$A305+VLOOKUP(X305,Schichten!$A$5:$G$24,4,FALSE())+IF(VLOOKUP(X305,Schichten!$A$5:$G$24,4,FALSE())&lt;=VLOOKUP(X305,Schichten!$A$5:$G$24,3,FALSE()),1,0))</f>
        <v>46689.25</v>
      </c>
      <c r="AC305" s="28" t="n">
        <f aca="false">IF($A305="","",IF(N(Y304)&gt;0,AB304,AC304))</f>
        <v>46688.25</v>
      </c>
      <c r="AD305" s="27" t="n">
        <f aca="false">IF(OR(AA305="",AC305=""),"",(AA305-AC305)*24)</f>
        <v>16</v>
      </c>
      <c r="AE305" s="21" t="n">
        <f aca="false">IF($A305="","",IF(N(Y305)&gt;0,N(AE304)+1,0))</f>
        <v>6</v>
      </c>
      <c r="AF305" s="21" t="n">
        <f aca="false">IF($A305="","",IF(N(Z305)&gt;0,N(AF304)+1,0))</f>
        <v>2</v>
      </c>
      <c r="AG305" s="21" t="str">
        <f aca="false">IF($A305="","",IF(WEEKDAY($A305,2)&lt;&gt;7,"",IF(AND(OR(AA305="",N(AA305)&gt;=$A305+16/24,N(AB305)&lt;=$A305+6/24),OR(AC305="",N(AC305)&lt;=$A305+6/24)),1,0)))</f>
        <v/>
      </c>
      <c r="AH305" s="26" t="str">
        <f aca="false">IF($A305="","",IF(INDEX(Muster!$C$9:$BF$9,1,MOD($A305-Einstellungen!$C$6,Einstellungen!$C$7)+1)="","-",INDEX(Muster!$C$9:$BF$9,1,MOD($A305-Einstellungen!$C$6,Einstellungen!$C$7)+1)))</f>
        <v>S</v>
      </c>
      <c r="AI305" s="27" t="n">
        <f aca="false">IF($A305="","",IFERROR(VLOOKUP(AH305,Schichten!$A$5:$G$24,6,FALSE()),0))</f>
        <v>8</v>
      </c>
      <c r="AJ305" s="27" t="n">
        <f aca="false">IF($A305="","",IFERROR(VLOOKUP(AH305,Schichten!$A$5:$G$24,7,FALSE()),0))</f>
        <v>0</v>
      </c>
      <c r="AK305" s="28" t="n">
        <f aca="false">IF($A305="","",IF(N(AI305)=0,"",$A305+VLOOKUP(AH305,Schichten!$A$5:$G$24,3,FALSE())))</f>
        <v>46688.5833333333</v>
      </c>
      <c r="AL305" s="28" t="n">
        <f aca="false">IF(AK305="","",$A305+VLOOKUP(AH305,Schichten!$A$5:$G$24,4,FALSE())+IF(VLOOKUP(AH305,Schichten!$A$5:$G$24,4,FALSE())&lt;=VLOOKUP(AH305,Schichten!$A$5:$G$24,3,FALSE()),1,0))</f>
        <v>46688.9166666667</v>
      </c>
      <c r="AM305" s="28" t="n">
        <f aca="false">IF($A305="","",IF(N(AI304)&gt;0,AL304,AM304))</f>
        <v>46687.9166666667</v>
      </c>
      <c r="AN305" s="27" t="n">
        <f aca="false">IF(OR(AK305="",AM305=""),"",(AK305-AM305)*24)</f>
        <v>16</v>
      </c>
      <c r="AO305" s="21" t="n">
        <f aca="false">IF($A305="","",IF(N(AI305)&gt;0,N(AO304)+1,0))</f>
        <v>4</v>
      </c>
      <c r="AP305" s="21" t="n">
        <f aca="false">IF($A305="","",IF(N(AJ305)&gt;0,N(AP304)+1,0))</f>
        <v>0</v>
      </c>
      <c r="AQ305" s="21" t="str">
        <f aca="false">IF($A305="","",IF(WEEKDAY($A305,2)&lt;&gt;7,"",IF(AND(OR(AK305="",N(AK305)&gt;=$A305+16/24,N(AL305)&lt;=$A305+6/24),OR(AM305="",N(AM305)&lt;=$A305+6/24)),1,0)))</f>
        <v/>
      </c>
      <c r="AR305" s="26" t="str">
        <f aca="false">IF($A305="","",IF(INDEX(Muster!$C$10:$BF$10,1,MOD($A305-Einstellungen!$C$6,Einstellungen!$C$7)+1)="","-",INDEX(Muster!$C$10:$BF$10,1,MOD($A305-Einstellungen!$C$6,Einstellungen!$C$7)+1)))</f>
        <v>-</v>
      </c>
      <c r="AS305" s="27" t="n">
        <f aca="false">IF($A305="","",IFERROR(VLOOKUP(AR305,Schichten!$A$5:$G$24,6,FALSE()),0))</f>
        <v>0</v>
      </c>
      <c r="AT305" s="27" t="n">
        <f aca="false">IF($A305="","",IFERROR(VLOOKUP(AR305,Schichten!$A$5:$G$24,7,FALSE()),0))</f>
        <v>0</v>
      </c>
      <c r="AU305" s="28" t="str">
        <f aca="false">IF($A305="","",IF(N(AS305)=0,"",$A305+VLOOKUP(AR305,Schichten!$A$5:$G$24,3,FALSE())))</f>
        <v/>
      </c>
      <c r="AV305" s="28" t="str">
        <f aca="false">IF(AU305="","",$A305+VLOOKUP(AR305,Schichten!$A$5:$G$24,4,FALSE())+IF(VLOOKUP(AR305,Schichten!$A$5:$G$24,4,FALSE())&lt;=VLOOKUP(AR305,Schichten!$A$5:$G$24,3,FALSE()),1,0))</f>
        <v/>
      </c>
      <c r="AW305" s="28" t="str">
        <f aca="false">IF($A305="","",IF(N(AS304)&gt;0,AV304,AW304))</f>
        <v/>
      </c>
      <c r="AX305" s="27" t="str">
        <f aca="false">IF(OR(AU305="",AW305=""),"",(AU305-AW305)*24)</f>
        <v/>
      </c>
      <c r="AY305" s="21" t="n">
        <f aca="false">IF($A305="","",IF(N(AS305)&gt;0,N(AY304)+1,0))</f>
        <v>0</v>
      </c>
      <c r="AZ305" s="21" t="n">
        <f aca="false">IF($A305="","",IF(N(AT305)&gt;0,N(AZ304)+1,0))</f>
        <v>0</v>
      </c>
      <c r="BA305" s="21" t="str">
        <f aca="false">IF($A305="","",IF(WEEKDAY($A305,2)&lt;&gt;7,"",IF(AND(OR(AU305="",N(AU305)&gt;=$A305+16/24,N(AV305)&lt;=$A305+6/24),OR(AW305="",N(AW305)&lt;=$A305+6/24)),1,0)))</f>
        <v/>
      </c>
    </row>
    <row r="306" customFormat="false" ht="15" hidden="false" customHeight="false" outlineLevel="0" collapsed="false">
      <c r="A306" s="25" t="n">
        <f aca="false">IF(YEAR(DATE(Einstellungen!$C$4,1,1)+301)=Einstellungen!$C$4,DATE(Einstellungen!$C$4,1,1)+301,"")</f>
        <v>46689</v>
      </c>
      <c r="B306" s="26" t="str">
        <f aca="false">IF($A306="","",CHOOSE(WEEKDAY($A306,2),"Mo","Di","Mi","Do","Fr","Sa","So"))</f>
        <v>Fr</v>
      </c>
      <c r="C306" s="26" t="n">
        <f aca="false">IF($A306="","",MONTH($A306))</f>
        <v>10</v>
      </c>
      <c r="D306" s="26" t="str">
        <f aca="false">IF($A306="","",IF(INDEX(Muster!$C$6:$BF$6,1,MOD($A306-Einstellungen!$C$6,Einstellungen!$C$7)+1)="","-",INDEX(Muster!$C$6:$BF$6,1,MOD($A306-Einstellungen!$C$6,Einstellungen!$C$7)+1)))</f>
        <v>S</v>
      </c>
      <c r="E306" s="27" t="n">
        <f aca="false">IF($A306="","",IFERROR(VLOOKUP(D306,Schichten!$A$5:$G$24,6,FALSE()),0))</f>
        <v>8</v>
      </c>
      <c r="F306" s="27" t="n">
        <f aca="false">IF($A306="","",IFERROR(VLOOKUP(D306,Schichten!$A$5:$G$24,7,FALSE()),0))</f>
        <v>0</v>
      </c>
      <c r="G306" s="28" t="n">
        <f aca="false">IF($A306="","",IF(N(E306)=0,"",$A306+VLOOKUP(D306,Schichten!$A$5:$G$24,3,FALSE())))</f>
        <v>46689.5833333333</v>
      </c>
      <c r="H306" s="28" t="n">
        <f aca="false">IF(G306="","",$A306+VLOOKUP(D306,Schichten!$A$5:$G$24,4,FALSE())+IF(VLOOKUP(D306,Schichten!$A$5:$G$24,4,FALSE())&lt;=VLOOKUP(D306,Schichten!$A$5:$G$24,3,FALSE()),1,0))</f>
        <v>46689.9166666667</v>
      </c>
      <c r="I306" s="28" t="n">
        <f aca="false">IF($A306="","",IF(N(E305)&gt;0,H305,I305))</f>
        <v>46688.5833333333</v>
      </c>
      <c r="J306" s="27" t="n">
        <f aca="false">IF(OR(G306="",I306=""),"",(G306-I306)*24)</f>
        <v>24</v>
      </c>
      <c r="K306" s="21" t="n">
        <f aca="false">IF($A306="","",IF(N(E306)&gt;0,N(K305)+1,0))</f>
        <v>3</v>
      </c>
      <c r="L306" s="21" t="n">
        <f aca="false">IF($A306="","",IF(N(F306)&gt;0,N(L305)+1,0))</f>
        <v>0</v>
      </c>
      <c r="M306" s="21" t="str">
        <f aca="false">IF($A306="","",IF(WEEKDAY($A306,2)&lt;&gt;7,"",IF(AND(OR(G306="",N(G306)&gt;=$A306+16/24,N(H306)&lt;=$A306+6/24),OR(I306="",N(I306)&lt;=$A306+6/24)),1,0)))</f>
        <v/>
      </c>
      <c r="N306" s="26" t="str">
        <f aca="false">IF($A306="","",IF(INDEX(Muster!$C$7:$BF$7,1,MOD($A306-Einstellungen!$C$6,Einstellungen!$C$7)+1)="","-",INDEX(Muster!$C$7:$BF$7,1,MOD($A306-Einstellungen!$C$6,Einstellungen!$C$7)+1)))</f>
        <v>F</v>
      </c>
      <c r="O306" s="27" t="n">
        <f aca="false">IF($A306="","",IFERROR(VLOOKUP(N306,Schichten!$A$5:$G$24,6,FALSE()),0))</f>
        <v>8</v>
      </c>
      <c r="P306" s="27" t="n">
        <f aca="false">IF($A306="","",IFERROR(VLOOKUP(N306,Schichten!$A$5:$G$24,7,FALSE()),0))</f>
        <v>0</v>
      </c>
      <c r="Q306" s="28" t="n">
        <f aca="false">IF($A306="","",IF(N(O306)=0,"",$A306+VLOOKUP(N306,Schichten!$A$5:$G$24,3,FALSE())))</f>
        <v>46689.25</v>
      </c>
      <c r="R306" s="28" t="n">
        <f aca="false">IF(Q306="","",$A306+VLOOKUP(N306,Schichten!$A$5:$G$24,4,FALSE())+IF(VLOOKUP(N306,Schichten!$A$5:$G$24,4,FALSE())&lt;=VLOOKUP(N306,Schichten!$A$5:$G$24,3,FALSE()),1,0))</f>
        <v>46689.5833333333</v>
      </c>
      <c r="S306" s="28" t="n">
        <f aca="false">IF($A306="","",IF(N(O305)&gt;0,R305,S305))</f>
        <v>46687.25</v>
      </c>
      <c r="T306" s="27" t="n">
        <f aca="false">IF(OR(Q306="",S306=""),"",(Q306-S306)*24)</f>
        <v>48</v>
      </c>
      <c r="U306" s="21" t="n">
        <f aca="false">IF($A306="","",IF(N(O306)&gt;0,N(U305)+1,0))</f>
        <v>1</v>
      </c>
      <c r="V306" s="21" t="n">
        <f aca="false">IF($A306="","",IF(N(P306)&gt;0,N(V305)+1,0))</f>
        <v>0</v>
      </c>
      <c r="W306" s="21" t="str">
        <f aca="false">IF($A306="","",IF(WEEKDAY($A306,2)&lt;&gt;7,"",IF(AND(OR(Q306="",N(Q306)&gt;=$A306+16/24,N(R306)&lt;=$A306+6/24),OR(S306="",N(S306)&lt;=$A306+6/24)),1,0)))</f>
        <v/>
      </c>
      <c r="X306" s="26" t="str">
        <f aca="false">IF($A306="","",IF(INDEX(Muster!$C$8:$BF$8,1,MOD($A306-Einstellungen!$C$6,Einstellungen!$C$7)+1)="","-",INDEX(Muster!$C$8:$BF$8,1,MOD($A306-Einstellungen!$C$6,Einstellungen!$C$7)+1)))</f>
        <v>-</v>
      </c>
      <c r="Y306" s="27" t="n">
        <f aca="false">IF($A306="","",IFERROR(VLOOKUP(X306,Schichten!$A$5:$G$24,6,FALSE()),0))</f>
        <v>0</v>
      </c>
      <c r="Z306" s="27" t="n">
        <f aca="false">IF($A306="","",IFERROR(VLOOKUP(X306,Schichten!$A$5:$G$24,7,FALSE()),0))</f>
        <v>0</v>
      </c>
      <c r="AA306" s="28" t="str">
        <f aca="false">IF($A306="","",IF(N(Y306)=0,"",$A306+VLOOKUP(X306,Schichten!$A$5:$G$24,3,FALSE())))</f>
        <v/>
      </c>
      <c r="AB306" s="28" t="str">
        <f aca="false">IF(AA306="","",$A306+VLOOKUP(X306,Schichten!$A$5:$G$24,4,FALSE())+IF(VLOOKUP(X306,Schichten!$A$5:$G$24,4,FALSE())&lt;=VLOOKUP(X306,Schichten!$A$5:$G$24,3,FALSE()),1,0))</f>
        <v/>
      </c>
      <c r="AC306" s="28" t="n">
        <f aca="false">IF($A306="","",IF(N(Y305)&gt;0,AB305,AC305))</f>
        <v>46689.25</v>
      </c>
      <c r="AD306" s="27" t="str">
        <f aca="false">IF(OR(AA306="",AC306=""),"",(AA306-AC306)*24)</f>
        <v/>
      </c>
      <c r="AE306" s="21" t="n">
        <f aca="false">IF($A306="","",IF(N(Y306)&gt;0,N(AE305)+1,0))</f>
        <v>0</v>
      </c>
      <c r="AF306" s="21" t="n">
        <f aca="false">IF($A306="","",IF(N(Z306)&gt;0,N(AF305)+1,0))</f>
        <v>0</v>
      </c>
      <c r="AG306" s="21" t="str">
        <f aca="false">IF($A306="","",IF(WEEKDAY($A306,2)&lt;&gt;7,"",IF(AND(OR(AA306="",N(AA306)&gt;=$A306+16/24,N(AB306)&lt;=$A306+6/24),OR(AC306="",N(AC306)&lt;=$A306+6/24)),1,0)))</f>
        <v/>
      </c>
      <c r="AH306" s="26" t="str">
        <f aca="false">IF($A306="","",IF(INDEX(Muster!$C$9:$BF$9,1,MOD($A306-Einstellungen!$C$6,Einstellungen!$C$7)+1)="","-",INDEX(Muster!$C$9:$BF$9,1,MOD($A306-Einstellungen!$C$6,Einstellungen!$C$7)+1)))</f>
        <v>N</v>
      </c>
      <c r="AI306" s="27" t="n">
        <f aca="false">IF($A306="","",IFERROR(VLOOKUP(AH306,Schichten!$A$5:$G$24,6,FALSE()),0))</f>
        <v>8</v>
      </c>
      <c r="AJ306" s="27" t="n">
        <f aca="false">IF($A306="","",IFERROR(VLOOKUP(AH306,Schichten!$A$5:$G$24,7,FALSE()),0))</f>
        <v>7</v>
      </c>
      <c r="AK306" s="28" t="n">
        <f aca="false">IF($A306="","",IF(N(AI306)=0,"",$A306+VLOOKUP(AH306,Schichten!$A$5:$G$24,3,FALSE())))</f>
        <v>46689.9166666667</v>
      </c>
      <c r="AL306" s="28" t="n">
        <f aca="false">IF(AK306="","",$A306+VLOOKUP(AH306,Schichten!$A$5:$G$24,4,FALSE())+IF(VLOOKUP(AH306,Schichten!$A$5:$G$24,4,FALSE())&lt;=VLOOKUP(AH306,Schichten!$A$5:$G$24,3,FALSE()),1,0))</f>
        <v>46690.25</v>
      </c>
      <c r="AM306" s="28" t="n">
        <f aca="false">IF($A306="","",IF(N(AI305)&gt;0,AL305,AM305))</f>
        <v>46688.9166666667</v>
      </c>
      <c r="AN306" s="27" t="n">
        <f aca="false">IF(OR(AK306="",AM306=""),"",(AK306-AM306)*24)</f>
        <v>24</v>
      </c>
      <c r="AO306" s="21" t="n">
        <f aca="false">IF($A306="","",IF(N(AI306)&gt;0,N(AO305)+1,0))</f>
        <v>5</v>
      </c>
      <c r="AP306" s="21" t="n">
        <f aca="false">IF($A306="","",IF(N(AJ306)&gt;0,N(AP305)+1,0))</f>
        <v>1</v>
      </c>
      <c r="AQ306" s="21" t="str">
        <f aca="false">IF($A306="","",IF(WEEKDAY($A306,2)&lt;&gt;7,"",IF(AND(OR(AK306="",N(AK306)&gt;=$A306+16/24,N(AL306)&lt;=$A306+6/24),OR(AM306="",N(AM306)&lt;=$A306+6/24)),1,0)))</f>
        <v/>
      </c>
      <c r="AR306" s="26" t="str">
        <f aca="false">IF($A306="","",IF(INDEX(Muster!$C$10:$BF$10,1,MOD($A306-Einstellungen!$C$6,Einstellungen!$C$7)+1)="","-",INDEX(Muster!$C$10:$BF$10,1,MOD($A306-Einstellungen!$C$6,Einstellungen!$C$7)+1)))</f>
        <v>-</v>
      </c>
      <c r="AS306" s="27" t="n">
        <f aca="false">IF($A306="","",IFERROR(VLOOKUP(AR306,Schichten!$A$5:$G$24,6,FALSE()),0))</f>
        <v>0</v>
      </c>
      <c r="AT306" s="27" t="n">
        <f aca="false">IF($A306="","",IFERROR(VLOOKUP(AR306,Schichten!$A$5:$G$24,7,FALSE()),0))</f>
        <v>0</v>
      </c>
      <c r="AU306" s="28" t="str">
        <f aca="false">IF($A306="","",IF(N(AS306)=0,"",$A306+VLOOKUP(AR306,Schichten!$A$5:$G$24,3,FALSE())))</f>
        <v/>
      </c>
      <c r="AV306" s="28" t="str">
        <f aca="false">IF(AU306="","",$A306+VLOOKUP(AR306,Schichten!$A$5:$G$24,4,FALSE())+IF(VLOOKUP(AR306,Schichten!$A$5:$G$24,4,FALSE())&lt;=VLOOKUP(AR306,Schichten!$A$5:$G$24,3,FALSE()),1,0))</f>
        <v/>
      </c>
      <c r="AW306" s="28" t="str">
        <f aca="false">IF($A306="","",IF(N(AS305)&gt;0,AV305,AW305))</f>
        <v/>
      </c>
      <c r="AX306" s="27" t="str">
        <f aca="false">IF(OR(AU306="",AW306=""),"",(AU306-AW306)*24)</f>
        <v/>
      </c>
      <c r="AY306" s="21" t="n">
        <f aca="false">IF($A306="","",IF(N(AS306)&gt;0,N(AY305)+1,0))</f>
        <v>0</v>
      </c>
      <c r="AZ306" s="21" t="n">
        <f aca="false">IF($A306="","",IF(N(AT306)&gt;0,N(AZ305)+1,0))</f>
        <v>0</v>
      </c>
      <c r="BA306" s="21" t="str">
        <f aca="false">IF($A306="","",IF(WEEKDAY($A306,2)&lt;&gt;7,"",IF(AND(OR(AU306="",N(AU306)&gt;=$A306+16/24,N(AV306)&lt;=$A306+6/24),OR(AW306="",N(AW306)&lt;=$A306+6/24)),1,0)))</f>
        <v/>
      </c>
    </row>
    <row r="307" customFormat="false" ht="15" hidden="false" customHeight="false" outlineLevel="0" collapsed="false">
      <c r="A307" s="25" t="n">
        <f aca="false">IF(YEAR(DATE(Einstellungen!$C$4,1,1)+302)=Einstellungen!$C$4,DATE(Einstellungen!$C$4,1,1)+302,"")</f>
        <v>46690</v>
      </c>
      <c r="B307" s="26" t="str">
        <f aca="false">IF($A307="","",CHOOSE(WEEKDAY($A307,2),"Mo","Di","Mi","Do","Fr","Sa","So"))</f>
        <v>Sa</v>
      </c>
      <c r="C307" s="26" t="n">
        <f aca="false">IF($A307="","",MONTH($A307))</f>
        <v>10</v>
      </c>
      <c r="D307" s="26" t="str">
        <f aca="false">IF($A307="","",IF(INDEX(Muster!$C$6:$BF$6,1,MOD($A307-Einstellungen!$C$6,Einstellungen!$C$7)+1)="","-",INDEX(Muster!$C$6:$BF$6,1,MOD($A307-Einstellungen!$C$6,Einstellungen!$C$7)+1)))</f>
        <v>S</v>
      </c>
      <c r="E307" s="27" t="n">
        <f aca="false">IF($A307="","",IFERROR(VLOOKUP(D307,Schichten!$A$5:$G$24,6,FALSE()),0))</f>
        <v>8</v>
      </c>
      <c r="F307" s="27" t="n">
        <f aca="false">IF($A307="","",IFERROR(VLOOKUP(D307,Schichten!$A$5:$G$24,7,FALSE()),0))</f>
        <v>0</v>
      </c>
      <c r="G307" s="28" t="n">
        <f aca="false">IF($A307="","",IF(N(E307)=0,"",$A307+VLOOKUP(D307,Schichten!$A$5:$G$24,3,FALSE())))</f>
        <v>46690.5833333333</v>
      </c>
      <c r="H307" s="28" t="n">
        <f aca="false">IF(G307="","",$A307+VLOOKUP(D307,Schichten!$A$5:$G$24,4,FALSE())+IF(VLOOKUP(D307,Schichten!$A$5:$G$24,4,FALSE())&lt;=VLOOKUP(D307,Schichten!$A$5:$G$24,3,FALSE()),1,0))</f>
        <v>46690.9166666667</v>
      </c>
      <c r="I307" s="28" t="n">
        <f aca="false">IF($A307="","",IF(N(E306)&gt;0,H306,I306))</f>
        <v>46689.9166666667</v>
      </c>
      <c r="J307" s="27" t="n">
        <f aca="false">IF(OR(G307="",I307=""),"",(G307-I307)*24)</f>
        <v>16</v>
      </c>
      <c r="K307" s="21" t="n">
        <f aca="false">IF($A307="","",IF(N(E307)&gt;0,N(K306)+1,0))</f>
        <v>4</v>
      </c>
      <c r="L307" s="21" t="n">
        <f aca="false">IF($A307="","",IF(N(F307)&gt;0,N(L306)+1,0))</f>
        <v>0</v>
      </c>
      <c r="M307" s="21" t="str">
        <f aca="false">IF($A307="","",IF(WEEKDAY($A307,2)&lt;&gt;7,"",IF(AND(OR(G307="",N(G307)&gt;=$A307+16/24,N(H307)&lt;=$A307+6/24),OR(I307="",N(I307)&lt;=$A307+6/24)),1,0)))</f>
        <v/>
      </c>
      <c r="N307" s="26" t="str">
        <f aca="false">IF($A307="","",IF(INDEX(Muster!$C$7:$BF$7,1,MOD($A307-Einstellungen!$C$6,Einstellungen!$C$7)+1)="","-",INDEX(Muster!$C$7:$BF$7,1,MOD($A307-Einstellungen!$C$6,Einstellungen!$C$7)+1)))</f>
        <v>F</v>
      </c>
      <c r="O307" s="27" t="n">
        <f aca="false">IF($A307="","",IFERROR(VLOOKUP(N307,Schichten!$A$5:$G$24,6,FALSE()),0))</f>
        <v>8</v>
      </c>
      <c r="P307" s="27" t="n">
        <f aca="false">IF($A307="","",IFERROR(VLOOKUP(N307,Schichten!$A$5:$G$24,7,FALSE()),0))</f>
        <v>0</v>
      </c>
      <c r="Q307" s="28" t="n">
        <f aca="false">IF($A307="","",IF(N(O307)=0,"",$A307+VLOOKUP(N307,Schichten!$A$5:$G$24,3,FALSE())))</f>
        <v>46690.25</v>
      </c>
      <c r="R307" s="28" t="n">
        <f aca="false">IF(Q307="","",$A307+VLOOKUP(N307,Schichten!$A$5:$G$24,4,FALSE())+IF(VLOOKUP(N307,Schichten!$A$5:$G$24,4,FALSE())&lt;=VLOOKUP(N307,Schichten!$A$5:$G$24,3,FALSE()),1,0))</f>
        <v>46690.5833333333</v>
      </c>
      <c r="S307" s="28" t="n">
        <f aca="false">IF($A307="","",IF(N(O306)&gt;0,R306,S306))</f>
        <v>46689.5833333333</v>
      </c>
      <c r="T307" s="27" t="n">
        <f aca="false">IF(OR(Q307="",S307=""),"",(Q307-S307)*24)</f>
        <v>16</v>
      </c>
      <c r="U307" s="21" t="n">
        <f aca="false">IF($A307="","",IF(N(O307)&gt;0,N(U306)+1,0))</f>
        <v>2</v>
      </c>
      <c r="V307" s="21" t="n">
        <f aca="false">IF($A307="","",IF(N(P307)&gt;0,N(V306)+1,0))</f>
        <v>0</v>
      </c>
      <c r="W307" s="21" t="str">
        <f aca="false">IF($A307="","",IF(WEEKDAY($A307,2)&lt;&gt;7,"",IF(AND(OR(Q307="",N(Q307)&gt;=$A307+16/24,N(R307)&lt;=$A307+6/24),OR(S307="",N(S307)&lt;=$A307+6/24)),1,0)))</f>
        <v/>
      </c>
      <c r="X307" s="26" t="str">
        <f aca="false">IF($A307="","",IF(INDEX(Muster!$C$8:$BF$8,1,MOD($A307-Einstellungen!$C$6,Einstellungen!$C$7)+1)="","-",INDEX(Muster!$C$8:$BF$8,1,MOD($A307-Einstellungen!$C$6,Einstellungen!$C$7)+1)))</f>
        <v>-</v>
      </c>
      <c r="Y307" s="27" t="n">
        <f aca="false">IF($A307="","",IFERROR(VLOOKUP(X307,Schichten!$A$5:$G$24,6,FALSE()),0))</f>
        <v>0</v>
      </c>
      <c r="Z307" s="27" t="n">
        <f aca="false">IF($A307="","",IFERROR(VLOOKUP(X307,Schichten!$A$5:$G$24,7,FALSE()),0))</f>
        <v>0</v>
      </c>
      <c r="AA307" s="28" t="str">
        <f aca="false">IF($A307="","",IF(N(Y307)=0,"",$A307+VLOOKUP(X307,Schichten!$A$5:$G$24,3,FALSE())))</f>
        <v/>
      </c>
      <c r="AB307" s="28" t="str">
        <f aca="false">IF(AA307="","",$A307+VLOOKUP(X307,Schichten!$A$5:$G$24,4,FALSE())+IF(VLOOKUP(X307,Schichten!$A$5:$G$24,4,FALSE())&lt;=VLOOKUP(X307,Schichten!$A$5:$G$24,3,FALSE()),1,0))</f>
        <v/>
      </c>
      <c r="AC307" s="28" t="n">
        <f aca="false">IF($A307="","",IF(N(Y306)&gt;0,AB306,AC306))</f>
        <v>46689.25</v>
      </c>
      <c r="AD307" s="27" t="str">
        <f aca="false">IF(OR(AA307="",AC307=""),"",(AA307-AC307)*24)</f>
        <v/>
      </c>
      <c r="AE307" s="21" t="n">
        <f aca="false">IF($A307="","",IF(N(Y307)&gt;0,N(AE306)+1,0))</f>
        <v>0</v>
      </c>
      <c r="AF307" s="21" t="n">
        <f aca="false">IF($A307="","",IF(N(Z307)&gt;0,N(AF306)+1,0))</f>
        <v>0</v>
      </c>
      <c r="AG307" s="21" t="str">
        <f aca="false">IF($A307="","",IF(WEEKDAY($A307,2)&lt;&gt;7,"",IF(AND(OR(AA307="",N(AA307)&gt;=$A307+16/24,N(AB307)&lt;=$A307+6/24),OR(AC307="",N(AC307)&lt;=$A307+6/24)),1,0)))</f>
        <v/>
      </c>
      <c r="AH307" s="26" t="str">
        <f aca="false">IF($A307="","",IF(INDEX(Muster!$C$9:$BF$9,1,MOD($A307-Einstellungen!$C$6,Einstellungen!$C$7)+1)="","-",INDEX(Muster!$C$9:$BF$9,1,MOD($A307-Einstellungen!$C$6,Einstellungen!$C$7)+1)))</f>
        <v>N</v>
      </c>
      <c r="AI307" s="27" t="n">
        <f aca="false">IF($A307="","",IFERROR(VLOOKUP(AH307,Schichten!$A$5:$G$24,6,FALSE()),0))</f>
        <v>8</v>
      </c>
      <c r="AJ307" s="27" t="n">
        <f aca="false">IF($A307="","",IFERROR(VLOOKUP(AH307,Schichten!$A$5:$G$24,7,FALSE()),0))</f>
        <v>7</v>
      </c>
      <c r="AK307" s="28" t="n">
        <f aca="false">IF($A307="","",IF(N(AI307)=0,"",$A307+VLOOKUP(AH307,Schichten!$A$5:$G$24,3,FALSE())))</f>
        <v>46690.9166666667</v>
      </c>
      <c r="AL307" s="28" t="n">
        <f aca="false">IF(AK307="","",$A307+VLOOKUP(AH307,Schichten!$A$5:$G$24,4,FALSE())+IF(VLOOKUP(AH307,Schichten!$A$5:$G$24,4,FALSE())&lt;=VLOOKUP(AH307,Schichten!$A$5:$G$24,3,FALSE()),1,0))</f>
        <v>46691.25</v>
      </c>
      <c r="AM307" s="28" t="n">
        <f aca="false">IF($A307="","",IF(N(AI306)&gt;0,AL306,AM306))</f>
        <v>46690.25</v>
      </c>
      <c r="AN307" s="27" t="n">
        <f aca="false">IF(OR(AK307="",AM307=""),"",(AK307-AM307)*24)</f>
        <v>16</v>
      </c>
      <c r="AO307" s="21" t="n">
        <f aca="false">IF($A307="","",IF(N(AI307)&gt;0,N(AO306)+1,0))</f>
        <v>6</v>
      </c>
      <c r="AP307" s="21" t="n">
        <f aca="false">IF($A307="","",IF(N(AJ307)&gt;0,N(AP306)+1,0))</f>
        <v>2</v>
      </c>
      <c r="AQ307" s="21" t="str">
        <f aca="false">IF($A307="","",IF(WEEKDAY($A307,2)&lt;&gt;7,"",IF(AND(OR(AK307="",N(AK307)&gt;=$A307+16/24,N(AL307)&lt;=$A307+6/24),OR(AM307="",N(AM307)&lt;=$A307+6/24)),1,0)))</f>
        <v/>
      </c>
      <c r="AR307" s="26" t="str">
        <f aca="false">IF($A307="","",IF(INDEX(Muster!$C$10:$BF$10,1,MOD($A307-Einstellungen!$C$6,Einstellungen!$C$7)+1)="","-",INDEX(Muster!$C$10:$BF$10,1,MOD($A307-Einstellungen!$C$6,Einstellungen!$C$7)+1)))</f>
        <v>-</v>
      </c>
      <c r="AS307" s="27" t="n">
        <f aca="false">IF($A307="","",IFERROR(VLOOKUP(AR307,Schichten!$A$5:$G$24,6,FALSE()),0))</f>
        <v>0</v>
      </c>
      <c r="AT307" s="27" t="n">
        <f aca="false">IF($A307="","",IFERROR(VLOOKUP(AR307,Schichten!$A$5:$G$24,7,FALSE()),0))</f>
        <v>0</v>
      </c>
      <c r="AU307" s="28" t="str">
        <f aca="false">IF($A307="","",IF(N(AS307)=0,"",$A307+VLOOKUP(AR307,Schichten!$A$5:$G$24,3,FALSE())))</f>
        <v/>
      </c>
      <c r="AV307" s="28" t="str">
        <f aca="false">IF(AU307="","",$A307+VLOOKUP(AR307,Schichten!$A$5:$G$24,4,FALSE())+IF(VLOOKUP(AR307,Schichten!$A$5:$G$24,4,FALSE())&lt;=VLOOKUP(AR307,Schichten!$A$5:$G$24,3,FALSE()),1,0))</f>
        <v/>
      </c>
      <c r="AW307" s="28" t="str">
        <f aca="false">IF($A307="","",IF(N(AS306)&gt;0,AV306,AW306))</f>
        <v/>
      </c>
      <c r="AX307" s="27" t="str">
        <f aca="false">IF(OR(AU307="",AW307=""),"",(AU307-AW307)*24)</f>
        <v/>
      </c>
      <c r="AY307" s="21" t="n">
        <f aca="false">IF($A307="","",IF(N(AS307)&gt;0,N(AY306)+1,0))</f>
        <v>0</v>
      </c>
      <c r="AZ307" s="21" t="n">
        <f aca="false">IF($A307="","",IF(N(AT307)&gt;0,N(AZ306)+1,0))</f>
        <v>0</v>
      </c>
      <c r="BA307" s="21" t="str">
        <f aca="false">IF($A307="","",IF(WEEKDAY($A307,2)&lt;&gt;7,"",IF(AND(OR(AU307="",N(AU307)&gt;=$A307+16/24,N(AV307)&lt;=$A307+6/24),OR(AW307="",N(AW307)&lt;=$A307+6/24)),1,0)))</f>
        <v/>
      </c>
    </row>
    <row r="308" customFormat="false" ht="15" hidden="false" customHeight="false" outlineLevel="0" collapsed="false">
      <c r="A308" s="25" t="n">
        <f aca="false">IF(YEAR(DATE(Einstellungen!$C$4,1,1)+303)=Einstellungen!$C$4,DATE(Einstellungen!$C$4,1,1)+303,"")</f>
        <v>46691</v>
      </c>
      <c r="B308" s="26" t="str">
        <f aca="false">IF($A308="","",CHOOSE(WEEKDAY($A308,2),"Mo","Di","Mi","Do","Fr","Sa","So"))</f>
        <v>So</v>
      </c>
      <c r="C308" s="26" t="n">
        <f aca="false">IF($A308="","",MONTH($A308))</f>
        <v>10</v>
      </c>
      <c r="D308" s="26" t="str">
        <f aca="false">IF($A308="","",IF(INDEX(Muster!$C$6:$BF$6,1,MOD($A308-Einstellungen!$C$6,Einstellungen!$C$7)+1)="","-",INDEX(Muster!$C$6:$BF$6,1,MOD($A308-Einstellungen!$C$6,Einstellungen!$C$7)+1)))</f>
        <v>N</v>
      </c>
      <c r="E308" s="27" t="n">
        <f aca="false">IF($A308="","",IFERROR(VLOOKUP(D308,Schichten!$A$5:$G$24,6,FALSE()),0))</f>
        <v>8</v>
      </c>
      <c r="F308" s="27" t="n">
        <f aca="false">IF($A308="","",IFERROR(VLOOKUP(D308,Schichten!$A$5:$G$24,7,FALSE()),0))</f>
        <v>7</v>
      </c>
      <c r="G308" s="28" t="n">
        <f aca="false">IF($A308="","",IF(N(E308)=0,"",$A308+VLOOKUP(D308,Schichten!$A$5:$G$24,3,FALSE())))</f>
        <v>46691.9166666667</v>
      </c>
      <c r="H308" s="28" t="n">
        <f aca="false">IF(G308="","",$A308+VLOOKUP(D308,Schichten!$A$5:$G$24,4,FALSE())+IF(VLOOKUP(D308,Schichten!$A$5:$G$24,4,FALSE())&lt;=VLOOKUP(D308,Schichten!$A$5:$G$24,3,FALSE()),1,0))</f>
        <v>46692.25</v>
      </c>
      <c r="I308" s="28" t="n">
        <f aca="false">IF($A308="","",IF(N(E307)&gt;0,H307,I307))</f>
        <v>46690.9166666667</v>
      </c>
      <c r="J308" s="27" t="n">
        <f aca="false">IF(OR(G308="",I308=""),"",(G308-I308)*24)</f>
        <v>24</v>
      </c>
      <c r="K308" s="21" t="n">
        <f aca="false">IF($A308="","",IF(N(E308)&gt;0,N(K307)+1,0))</f>
        <v>5</v>
      </c>
      <c r="L308" s="21" t="n">
        <f aca="false">IF($A308="","",IF(N(F308)&gt;0,N(L307)+1,0))</f>
        <v>1</v>
      </c>
      <c r="M308" s="21" t="n">
        <f aca="false">IF($A308="","",IF(WEEKDAY($A308,2)&lt;&gt;7,"",IF(AND(OR(G308="",N(G308)&gt;=$A308+16/24,N(H308)&lt;=$A308+6/24),OR(I308="",N(I308)&lt;=$A308+6/24)),1,0)))</f>
        <v>1</v>
      </c>
      <c r="N308" s="26" t="str">
        <f aca="false">IF($A308="","",IF(INDEX(Muster!$C$7:$BF$7,1,MOD($A308-Einstellungen!$C$6,Einstellungen!$C$7)+1)="","-",INDEX(Muster!$C$7:$BF$7,1,MOD($A308-Einstellungen!$C$6,Einstellungen!$C$7)+1)))</f>
        <v>S</v>
      </c>
      <c r="O308" s="27" t="n">
        <f aca="false">IF($A308="","",IFERROR(VLOOKUP(N308,Schichten!$A$5:$G$24,6,FALSE()),0))</f>
        <v>8</v>
      </c>
      <c r="P308" s="27" t="n">
        <f aca="false">IF($A308="","",IFERROR(VLOOKUP(N308,Schichten!$A$5:$G$24,7,FALSE()),0))</f>
        <v>0</v>
      </c>
      <c r="Q308" s="28" t="n">
        <f aca="false">IF($A308="","",IF(N(O308)=0,"",$A308+VLOOKUP(N308,Schichten!$A$5:$G$24,3,FALSE())))</f>
        <v>46691.5833333333</v>
      </c>
      <c r="R308" s="28" t="n">
        <f aca="false">IF(Q308="","",$A308+VLOOKUP(N308,Schichten!$A$5:$G$24,4,FALSE())+IF(VLOOKUP(N308,Schichten!$A$5:$G$24,4,FALSE())&lt;=VLOOKUP(N308,Schichten!$A$5:$G$24,3,FALSE()),1,0))</f>
        <v>46691.9166666667</v>
      </c>
      <c r="S308" s="28" t="n">
        <f aca="false">IF($A308="","",IF(N(O307)&gt;0,R307,S307))</f>
        <v>46690.5833333333</v>
      </c>
      <c r="T308" s="27" t="n">
        <f aca="false">IF(OR(Q308="",S308=""),"",(Q308-S308)*24)</f>
        <v>24</v>
      </c>
      <c r="U308" s="21" t="n">
        <f aca="false">IF($A308="","",IF(N(O308)&gt;0,N(U307)+1,0))</f>
        <v>3</v>
      </c>
      <c r="V308" s="21" t="n">
        <f aca="false">IF($A308="","",IF(N(P308)&gt;0,N(V307)+1,0))</f>
        <v>0</v>
      </c>
      <c r="W308" s="21" t="n">
        <f aca="false">IF($A308="","",IF(WEEKDAY($A308,2)&lt;&gt;7,"",IF(AND(OR(Q308="",N(Q308)&gt;=$A308+16/24,N(R308)&lt;=$A308+6/24),OR(S308="",N(S308)&lt;=$A308+6/24)),1,0)))</f>
        <v>0</v>
      </c>
      <c r="X308" s="26" t="str">
        <f aca="false">IF($A308="","",IF(INDEX(Muster!$C$8:$BF$8,1,MOD($A308-Einstellungen!$C$6,Einstellungen!$C$7)+1)="","-",INDEX(Muster!$C$8:$BF$8,1,MOD($A308-Einstellungen!$C$6,Einstellungen!$C$7)+1)))</f>
        <v>F</v>
      </c>
      <c r="Y308" s="27" t="n">
        <f aca="false">IF($A308="","",IFERROR(VLOOKUP(X308,Schichten!$A$5:$G$24,6,FALSE()),0))</f>
        <v>8</v>
      </c>
      <c r="Z308" s="27" t="n">
        <f aca="false">IF($A308="","",IFERROR(VLOOKUP(X308,Schichten!$A$5:$G$24,7,FALSE()),0))</f>
        <v>0</v>
      </c>
      <c r="AA308" s="28" t="n">
        <f aca="false">IF($A308="","",IF(N(Y308)=0,"",$A308+VLOOKUP(X308,Schichten!$A$5:$G$24,3,FALSE())))</f>
        <v>46691.25</v>
      </c>
      <c r="AB308" s="28" t="n">
        <f aca="false">IF(AA308="","",$A308+VLOOKUP(X308,Schichten!$A$5:$G$24,4,FALSE())+IF(VLOOKUP(X308,Schichten!$A$5:$G$24,4,FALSE())&lt;=VLOOKUP(X308,Schichten!$A$5:$G$24,3,FALSE()),1,0))</f>
        <v>46691.5833333333</v>
      </c>
      <c r="AC308" s="28" t="n">
        <f aca="false">IF($A308="","",IF(N(Y307)&gt;0,AB307,AC307))</f>
        <v>46689.25</v>
      </c>
      <c r="AD308" s="27" t="n">
        <f aca="false">IF(OR(AA308="",AC308=""),"",(AA308-AC308)*24)</f>
        <v>48</v>
      </c>
      <c r="AE308" s="21" t="n">
        <f aca="false">IF($A308="","",IF(N(Y308)&gt;0,N(AE307)+1,0))</f>
        <v>1</v>
      </c>
      <c r="AF308" s="21" t="n">
        <f aca="false">IF($A308="","",IF(N(Z308)&gt;0,N(AF307)+1,0))</f>
        <v>0</v>
      </c>
      <c r="AG308" s="21" t="n">
        <f aca="false">IF($A308="","",IF(WEEKDAY($A308,2)&lt;&gt;7,"",IF(AND(OR(AA308="",N(AA308)&gt;=$A308+16/24,N(AB308)&lt;=$A308+6/24),OR(AC308="",N(AC308)&lt;=$A308+6/24)),1,0)))</f>
        <v>0</v>
      </c>
      <c r="AH308" s="26" t="str">
        <f aca="false">IF($A308="","",IF(INDEX(Muster!$C$9:$BF$9,1,MOD($A308-Einstellungen!$C$6,Einstellungen!$C$7)+1)="","-",INDEX(Muster!$C$9:$BF$9,1,MOD($A308-Einstellungen!$C$6,Einstellungen!$C$7)+1)))</f>
        <v>-</v>
      </c>
      <c r="AI308" s="27" t="n">
        <f aca="false">IF($A308="","",IFERROR(VLOOKUP(AH308,Schichten!$A$5:$G$24,6,FALSE()),0))</f>
        <v>0</v>
      </c>
      <c r="AJ308" s="27" t="n">
        <f aca="false">IF($A308="","",IFERROR(VLOOKUP(AH308,Schichten!$A$5:$G$24,7,FALSE()),0))</f>
        <v>0</v>
      </c>
      <c r="AK308" s="28" t="str">
        <f aca="false">IF($A308="","",IF(N(AI308)=0,"",$A308+VLOOKUP(AH308,Schichten!$A$5:$G$24,3,FALSE())))</f>
        <v/>
      </c>
      <c r="AL308" s="28" t="str">
        <f aca="false">IF(AK308="","",$A308+VLOOKUP(AH308,Schichten!$A$5:$G$24,4,FALSE())+IF(VLOOKUP(AH308,Schichten!$A$5:$G$24,4,FALSE())&lt;=VLOOKUP(AH308,Schichten!$A$5:$G$24,3,FALSE()),1,0))</f>
        <v/>
      </c>
      <c r="AM308" s="28" t="n">
        <f aca="false">IF($A308="","",IF(N(AI307)&gt;0,AL307,AM307))</f>
        <v>46691.25</v>
      </c>
      <c r="AN308" s="27" t="str">
        <f aca="false">IF(OR(AK308="",AM308=""),"",(AK308-AM308)*24)</f>
        <v/>
      </c>
      <c r="AO308" s="21" t="n">
        <f aca="false">IF($A308="","",IF(N(AI308)&gt;0,N(AO307)+1,0))</f>
        <v>0</v>
      </c>
      <c r="AP308" s="21" t="n">
        <f aca="false">IF($A308="","",IF(N(AJ308)&gt;0,N(AP307)+1,0))</f>
        <v>0</v>
      </c>
      <c r="AQ308" s="21" t="n">
        <f aca="false">IF($A308="","",IF(WEEKDAY($A308,2)&lt;&gt;7,"",IF(AND(OR(AK308="",N(AK308)&gt;=$A308+16/24,N(AL308)&lt;=$A308+6/24),OR(AM308="",N(AM308)&lt;=$A308+6/24)),1,0)))</f>
        <v>1</v>
      </c>
      <c r="AR308" s="26" t="str">
        <f aca="false">IF($A308="","",IF(INDEX(Muster!$C$10:$BF$10,1,MOD($A308-Einstellungen!$C$6,Einstellungen!$C$7)+1)="","-",INDEX(Muster!$C$10:$BF$10,1,MOD($A308-Einstellungen!$C$6,Einstellungen!$C$7)+1)))</f>
        <v>-</v>
      </c>
      <c r="AS308" s="27" t="n">
        <f aca="false">IF($A308="","",IFERROR(VLOOKUP(AR308,Schichten!$A$5:$G$24,6,FALSE()),0))</f>
        <v>0</v>
      </c>
      <c r="AT308" s="27" t="n">
        <f aca="false">IF($A308="","",IFERROR(VLOOKUP(AR308,Schichten!$A$5:$G$24,7,FALSE()),0))</f>
        <v>0</v>
      </c>
      <c r="AU308" s="28" t="str">
        <f aca="false">IF($A308="","",IF(N(AS308)=0,"",$A308+VLOOKUP(AR308,Schichten!$A$5:$G$24,3,FALSE())))</f>
        <v/>
      </c>
      <c r="AV308" s="28" t="str">
        <f aca="false">IF(AU308="","",$A308+VLOOKUP(AR308,Schichten!$A$5:$G$24,4,FALSE())+IF(VLOOKUP(AR308,Schichten!$A$5:$G$24,4,FALSE())&lt;=VLOOKUP(AR308,Schichten!$A$5:$G$24,3,FALSE()),1,0))</f>
        <v/>
      </c>
      <c r="AW308" s="28" t="str">
        <f aca="false">IF($A308="","",IF(N(AS307)&gt;0,AV307,AW307))</f>
        <v/>
      </c>
      <c r="AX308" s="27" t="str">
        <f aca="false">IF(OR(AU308="",AW308=""),"",(AU308-AW308)*24)</f>
        <v/>
      </c>
      <c r="AY308" s="21" t="n">
        <f aca="false">IF($A308="","",IF(N(AS308)&gt;0,N(AY307)+1,0))</f>
        <v>0</v>
      </c>
      <c r="AZ308" s="21" t="n">
        <f aca="false">IF($A308="","",IF(N(AT308)&gt;0,N(AZ307)+1,0))</f>
        <v>0</v>
      </c>
      <c r="BA308" s="21" t="n">
        <f aca="false">IF($A308="","",IF(WEEKDAY($A308,2)&lt;&gt;7,"",IF(AND(OR(AU308="",N(AU308)&gt;=$A308+16/24,N(AV308)&lt;=$A308+6/24),OR(AW308="",N(AW308)&lt;=$A308+6/24)),1,0)))</f>
        <v>1</v>
      </c>
    </row>
    <row r="309" customFormat="false" ht="15" hidden="false" customHeight="false" outlineLevel="0" collapsed="false">
      <c r="A309" s="25" t="n">
        <f aca="false">IF(YEAR(DATE(Einstellungen!$C$4,1,1)+304)=Einstellungen!$C$4,DATE(Einstellungen!$C$4,1,1)+304,"")</f>
        <v>46692</v>
      </c>
      <c r="B309" s="26" t="str">
        <f aca="false">IF($A309="","",CHOOSE(WEEKDAY($A309,2),"Mo","Di","Mi","Do","Fr","Sa","So"))</f>
        <v>Mo</v>
      </c>
      <c r="C309" s="26" t="n">
        <f aca="false">IF($A309="","",MONTH($A309))</f>
        <v>11</v>
      </c>
      <c r="D309" s="26" t="str">
        <f aca="false">IF($A309="","",IF(INDEX(Muster!$C$6:$BF$6,1,MOD($A309-Einstellungen!$C$6,Einstellungen!$C$7)+1)="","-",INDEX(Muster!$C$6:$BF$6,1,MOD($A309-Einstellungen!$C$6,Einstellungen!$C$7)+1)))</f>
        <v>N</v>
      </c>
      <c r="E309" s="27" t="n">
        <f aca="false">IF($A309="","",IFERROR(VLOOKUP(D309,Schichten!$A$5:$G$24,6,FALSE()),0))</f>
        <v>8</v>
      </c>
      <c r="F309" s="27" t="n">
        <f aca="false">IF($A309="","",IFERROR(VLOOKUP(D309,Schichten!$A$5:$G$24,7,FALSE()),0))</f>
        <v>7</v>
      </c>
      <c r="G309" s="28" t="n">
        <f aca="false">IF($A309="","",IF(N(E309)=0,"",$A309+VLOOKUP(D309,Schichten!$A$5:$G$24,3,FALSE())))</f>
        <v>46692.9166666667</v>
      </c>
      <c r="H309" s="28" t="n">
        <f aca="false">IF(G309="","",$A309+VLOOKUP(D309,Schichten!$A$5:$G$24,4,FALSE())+IF(VLOOKUP(D309,Schichten!$A$5:$G$24,4,FALSE())&lt;=VLOOKUP(D309,Schichten!$A$5:$G$24,3,FALSE()),1,0))</f>
        <v>46693.25</v>
      </c>
      <c r="I309" s="28" t="n">
        <f aca="false">IF($A309="","",IF(N(E308)&gt;0,H308,I308))</f>
        <v>46692.25</v>
      </c>
      <c r="J309" s="27" t="n">
        <f aca="false">IF(OR(G309="",I309=""),"",(G309-I309)*24)</f>
        <v>16</v>
      </c>
      <c r="K309" s="21" t="n">
        <f aca="false">IF($A309="","",IF(N(E309)&gt;0,N(K308)+1,0))</f>
        <v>6</v>
      </c>
      <c r="L309" s="21" t="n">
        <f aca="false">IF($A309="","",IF(N(F309)&gt;0,N(L308)+1,0))</f>
        <v>2</v>
      </c>
      <c r="M309" s="21" t="str">
        <f aca="false">IF($A309="","",IF(WEEKDAY($A309,2)&lt;&gt;7,"",IF(AND(OR(G309="",N(G309)&gt;=$A309+16/24,N(H309)&lt;=$A309+6/24),OR(I309="",N(I309)&lt;=$A309+6/24)),1,0)))</f>
        <v/>
      </c>
      <c r="N309" s="26" t="str">
        <f aca="false">IF($A309="","",IF(INDEX(Muster!$C$7:$BF$7,1,MOD($A309-Einstellungen!$C$6,Einstellungen!$C$7)+1)="","-",INDEX(Muster!$C$7:$BF$7,1,MOD($A309-Einstellungen!$C$6,Einstellungen!$C$7)+1)))</f>
        <v>S</v>
      </c>
      <c r="O309" s="27" t="n">
        <f aca="false">IF($A309="","",IFERROR(VLOOKUP(N309,Schichten!$A$5:$G$24,6,FALSE()),0))</f>
        <v>8</v>
      </c>
      <c r="P309" s="27" t="n">
        <f aca="false">IF($A309="","",IFERROR(VLOOKUP(N309,Schichten!$A$5:$G$24,7,FALSE()),0))</f>
        <v>0</v>
      </c>
      <c r="Q309" s="28" t="n">
        <f aca="false">IF($A309="","",IF(N(O309)=0,"",$A309+VLOOKUP(N309,Schichten!$A$5:$G$24,3,FALSE())))</f>
        <v>46692.5833333333</v>
      </c>
      <c r="R309" s="28" t="n">
        <f aca="false">IF(Q309="","",$A309+VLOOKUP(N309,Schichten!$A$5:$G$24,4,FALSE())+IF(VLOOKUP(N309,Schichten!$A$5:$G$24,4,FALSE())&lt;=VLOOKUP(N309,Schichten!$A$5:$G$24,3,FALSE()),1,0))</f>
        <v>46692.9166666667</v>
      </c>
      <c r="S309" s="28" t="n">
        <f aca="false">IF($A309="","",IF(N(O308)&gt;0,R308,S308))</f>
        <v>46691.9166666667</v>
      </c>
      <c r="T309" s="27" t="n">
        <f aca="false">IF(OR(Q309="",S309=""),"",(Q309-S309)*24)</f>
        <v>16</v>
      </c>
      <c r="U309" s="21" t="n">
        <f aca="false">IF($A309="","",IF(N(O309)&gt;0,N(U308)+1,0))</f>
        <v>4</v>
      </c>
      <c r="V309" s="21" t="n">
        <f aca="false">IF($A309="","",IF(N(P309)&gt;0,N(V308)+1,0))</f>
        <v>0</v>
      </c>
      <c r="W309" s="21" t="str">
        <f aca="false">IF($A309="","",IF(WEEKDAY($A309,2)&lt;&gt;7,"",IF(AND(OR(Q309="",N(Q309)&gt;=$A309+16/24,N(R309)&lt;=$A309+6/24),OR(S309="",N(S309)&lt;=$A309+6/24)),1,0)))</f>
        <v/>
      </c>
      <c r="X309" s="26" t="str">
        <f aca="false">IF($A309="","",IF(INDEX(Muster!$C$8:$BF$8,1,MOD($A309-Einstellungen!$C$6,Einstellungen!$C$7)+1)="","-",INDEX(Muster!$C$8:$BF$8,1,MOD($A309-Einstellungen!$C$6,Einstellungen!$C$7)+1)))</f>
        <v>F</v>
      </c>
      <c r="Y309" s="27" t="n">
        <f aca="false">IF($A309="","",IFERROR(VLOOKUP(X309,Schichten!$A$5:$G$24,6,FALSE()),0))</f>
        <v>8</v>
      </c>
      <c r="Z309" s="27" t="n">
        <f aca="false">IF($A309="","",IFERROR(VLOOKUP(X309,Schichten!$A$5:$G$24,7,FALSE()),0))</f>
        <v>0</v>
      </c>
      <c r="AA309" s="28" t="n">
        <f aca="false">IF($A309="","",IF(N(Y309)=0,"",$A309+VLOOKUP(X309,Schichten!$A$5:$G$24,3,FALSE())))</f>
        <v>46692.25</v>
      </c>
      <c r="AB309" s="28" t="n">
        <f aca="false">IF(AA309="","",$A309+VLOOKUP(X309,Schichten!$A$5:$G$24,4,FALSE())+IF(VLOOKUP(X309,Schichten!$A$5:$G$24,4,FALSE())&lt;=VLOOKUP(X309,Schichten!$A$5:$G$24,3,FALSE()),1,0))</f>
        <v>46692.5833333333</v>
      </c>
      <c r="AC309" s="28" t="n">
        <f aca="false">IF($A309="","",IF(N(Y308)&gt;0,AB308,AC308))</f>
        <v>46691.5833333333</v>
      </c>
      <c r="AD309" s="27" t="n">
        <f aca="false">IF(OR(AA309="",AC309=""),"",(AA309-AC309)*24)</f>
        <v>16</v>
      </c>
      <c r="AE309" s="21" t="n">
        <f aca="false">IF($A309="","",IF(N(Y309)&gt;0,N(AE308)+1,0))</f>
        <v>2</v>
      </c>
      <c r="AF309" s="21" t="n">
        <f aca="false">IF($A309="","",IF(N(Z309)&gt;0,N(AF308)+1,0))</f>
        <v>0</v>
      </c>
      <c r="AG309" s="21" t="str">
        <f aca="false">IF($A309="","",IF(WEEKDAY($A309,2)&lt;&gt;7,"",IF(AND(OR(AA309="",N(AA309)&gt;=$A309+16/24,N(AB309)&lt;=$A309+6/24),OR(AC309="",N(AC309)&lt;=$A309+6/24)),1,0)))</f>
        <v/>
      </c>
      <c r="AH309" s="26" t="str">
        <f aca="false">IF($A309="","",IF(INDEX(Muster!$C$9:$BF$9,1,MOD($A309-Einstellungen!$C$6,Einstellungen!$C$7)+1)="","-",INDEX(Muster!$C$9:$BF$9,1,MOD($A309-Einstellungen!$C$6,Einstellungen!$C$7)+1)))</f>
        <v>-</v>
      </c>
      <c r="AI309" s="27" t="n">
        <f aca="false">IF($A309="","",IFERROR(VLOOKUP(AH309,Schichten!$A$5:$G$24,6,FALSE()),0))</f>
        <v>0</v>
      </c>
      <c r="AJ309" s="27" t="n">
        <f aca="false">IF($A309="","",IFERROR(VLOOKUP(AH309,Schichten!$A$5:$G$24,7,FALSE()),0))</f>
        <v>0</v>
      </c>
      <c r="AK309" s="28" t="str">
        <f aca="false">IF($A309="","",IF(N(AI309)=0,"",$A309+VLOOKUP(AH309,Schichten!$A$5:$G$24,3,FALSE())))</f>
        <v/>
      </c>
      <c r="AL309" s="28" t="str">
        <f aca="false">IF(AK309="","",$A309+VLOOKUP(AH309,Schichten!$A$5:$G$24,4,FALSE())+IF(VLOOKUP(AH309,Schichten!$A$5:$G$24,4,FALSE())&lt;=VLOOKUP(AH309,Schichten!$A$5:$G$24,3,FALSE()),1,0))</f>
        <v/>
      </c>
      <c r="AM309" s="28" t="n">
        <f aca="false">IF($A309="","",IF(N(AI308)&gt;0,AL308,AM308))</f>
        <v>46691.25</v>
      </c>
      <c r="AN309" s="27" t="str">
        <f aca="false">IF(OR(AK309="",AM309=""),"",(AK309-AM309)*24)</f>
        <v/>
      </c>
      <c r="AO309" s="21" t="n">
        <f aca="false">IF($A309="","",IF(N(AI309)&gt;0,N(AO308)+1,0))</f>
        <v>0</v>
      </c>
      <c r="AP309" s="21" t="n">
        <f aca="false">IF($A309="","",IF(N(AJ309)&gt;0,N(AP308)+1,0))</f>
        <v>0</v>
      </c>
      <c r="AQ309" s="21" t="str">
        <f aca="false">IF($A309="","",IF(WEEKDAY($A309,2)&lt;&gt;7,"",IF(AND(OR(AK309="",N(AK309)&gt;=$A309+16/24,N(AL309)&lt;=$A309+6/24),OR(AM309="",N(AM309)&lt;=$A309+6/24)),1,0)))</f>
        <v/>
      </c>
      <c r="AR309" s="26" t="str">
        <f aca="false">IF($A309="","",IF(INDEX(Muster!$C$10:$BF$10,1,MOD($A309-Einstellungen!$C$6,Einstellungen!$C$7)+1)="","-",INDEX(Muster!$C$10:$BF$10,1,MOD($A309-Einstellungen!$C$6,Einstellungen!$C$7)+1)))</f>
        <v>-</v>
      </c>
      <c r="AS309" s="27" t="n">
        <f aca="false">IF($A309="","",IFERROR(VLOOKUP(AR309,Schichten!$A$5:$G$24,6,FALSE()),0))</f>
        <v>0</v>
      </c>
      <c r="AT309" s="27" t="n">
        <f aca="false">IF($A309="","",IFERROR(VLOOKUP(AR309,Schichten!$A$5:$G$24,7,FALSE()),0))</f>
        <v>0</v>
      </c>
      <c r="AU309" s="28" t="str">
        <f aca="false">IF($A309="","",IF(N(AS309)=0,"",$A309+VLOOKUP(AR309,Schichten!$A$5:$G$24,3,FALSE())))</f>
        <v/>
      </c>
      <c r="AV309" s="28" t="str">
        <f aca="false">IF(AU309="","",$A309+VLOOKUP(AR309,Schichten!$A$5:$G$24,4,FALSE())+IF(VLOOKUP(AR309,Schichten!$A$5:$G$24,4,FALSE())&lt;=VLOOKUP(AR309,Schichten!$A$5:$G$24,3,FALSE()),1,0))</f>
        <v/>
      </c>
      <c r="AW309" s="28" t="str">
        <f aca="false">IF($A309="","",IF(N(AS308)&gt;0,AV308,AW308))</f>
        <v/>
      </c>
      <c r="AX309" s="27" t="str">
        <f aca="false">IF(OR(AU309="",AW309=""),"",(AU309-AW309)*24)</f>
        <v/>
      </c>
      <c r="AY309" s="21" t="n">
        <f aca="false">IF($A309="","",IF(N(AS309)&gt;0,N(AY308)+1,0))</f>
        <v>0</v>
      </c>
      <c r="AZ309" s="21" t="n">
        <f aca="false">IF($A309="","",IF(N(AT309)&gt;0,N(AZ308)+1,0))</f>
        <v>0</v>
      </c>
      <c r="BA309" s="21" t="str">
        <f aca="false">IF($A309="","",IF(WEEKDAY($A309,2)&lt;&gt;7,"",IF(AND(OR(AU309="",N(AU309)&gt;=$A309+16/24,N(AV309)&lt;=$A309+6/24),OR(AW309="",N(AW309)&lt;=$A309+6/24)),1,0)))</f>
        <v/>
      </c>
    </row>
    <row r="310" customFormat="false" ht="15" hidden="false" customHeight="false" outlineLevel="0" collapsed="false">
      <c r="A310" s="25" t="n">
        <f aca="false">IF(YEAR(DATE(Einstellungen!$C$4,1,1)+305)=Einstellungen!$C$4,DATE(Einstellungen!$C$4,1,1)+305,"")</f>
        <v>46693</v>
      </c>
      <c r="B310" s="26" t="str">
        <f aca="false">IF($A310="","",CHOOSE(WEEKDAY($A310,2),"Mo","Di","Mi","Do","Fr","Sa","So"))</f>
        <v>Di</v>
      </c>
      <c r="C310" s="26" t="n">
        <f aca="false">IF($A310="","",MONTH($A310))</f>
        <v>11</v>
      </c>
      <c r="D310" s="26" t="str">
        <f aca="false">IF($A310="","",IF(INDEX(Muster!$C$6:$BF$6,1,MOD($A310-Einstellungen!$C$6,Einstellungen!$C$7)+1)="","-",INDEX(Muster!$C$6:$BF$6,1,MOD($A310-Einstellungen!$C$6,Einstellungen!$C$7)+1)))</f>
        <v>-</v>
      </c>
      <c r="E310" s="27" t="n">
        <f aca="false">IF($A310="","",IFERROR(VLOOKUP(D310,Schichten!$A$5:$G$24,6,FALSE()),0))</f>
        <v>0</v>
      </c>
      <c r="F310" s="27" t="n">
        <f aca="false">IF($A310="","",IFERROR(VLOOKUP(D310,Schichten!$A$5:$G$24,7,FALSE()),0))</f>
        <v>0</v>
      </c>
      <c r="G310" s="28" t="str">
        <f aca="false">IF($A310="","",IF(N(E310)=0,"",$A310+VLOOKUP(D310,Schichten!$A$5:$G$24,3,FALSE())))</f>
        <v/>
      </c>
      <c r="H310" s="28" t="str">
        <f aca="false">IF(G310="","",$A310+VLOOKUP(D310,Schichten!$A$5:$G$24,4,FALSE())+IF(VLOOKUP(D310,Schichten!$A$5:$G$24,4,FALSE())&lt;=VLOOKUP(D310,Schichten!$A$5:$G$24,3,FALSE()),1,0))</f>
        <v/>
      </c>
      <c r="I310" s="28" t="n">
        <f aca="false">IF($A310="","",IF(N(E309)&gt;0,H309,I309))</f>
        <v>46693.25</v>
      </c>
      <c r="J310" s="27" t="str">
        <f aca="false">IF(OR(G310="",I310=""),"",(G310-I310)*24)</f>
        <v/>
      </c>
      <c r="K310" s="21" t="n">
        <f aca="false">IF($A310="","",IF(N(E310)&gt;0,N(K309)+1,0))</f>
        <v>0</v>
      </c>
      <c r="L310" s="21" t="n">
        <f aca="false">IF($A310="","",IF(N(F310)&gt;0,N(L309)+1,0))</f>
        <v>0</v>
      </c>
      <c r="M310" s="21" t="str">
        <f aca="false">IF($A310="","",IF(WEEKDAY($A310,2)&lt;&gt;7,"",IF(AND(OR(G310="",N(G310)&gt;=$A310+16/24,N(H310)&lt;=$A310+6/24),OR(I310="",N(I310)&lt;=$A310+6/24)),1,0)))</f>
        <v/>
      </c>
      <c r="N310" s="26" t="str">
        <f aca="false">IF($A310="","",IF(INDEX(Muster!$C$7:$BF$7,1,MOD($A310-Einstellungen!$C$6,Einstellungen!$C$7)+1)="","-",INDEX(Muster!$C$7:$BF$7,1,MOD($A310-Einstellungen!$C$6,Einstellungen!$C$7)+1)))</f>
        <v>N</v>
      </c>
      <c r="O310" s="27" t="n">
        <f aca="false">IF($A310="","",IFERROR(VLOOKUP(N310,Schichten!$A$5:$G$24,6,FALSE()),0))</f>
        <v>8</v>
      </c>
      <c r="P310" s="27" t="n">
        <f aca="false">IF($A310="","",IFERROR(VLOOKUP(N310,Schichten!$A$5:$G$24,7,FALSE()),0))</f>
        <v>7</v>
      </c>
      <c r="Q310" s="28" t="n">
        <f aca="false">IF($A310="","",IF(N(O310)=0,"",$A310+VLOOKUP(N310,Schichten!$A$5:$G$24,3,FALSE())))</f>
        <v>46693.9166666667</v>
      </c>
      <c r="R310" s="28" t="n">
        <f aca="false">IF(Q310="","",$A310+VLOOKUP(N310,Schichten!$A$5:$G$24,4,FALSE())+IF(VLOOKUP(N310,Schichten!$A$5:$G$24,4,FALSE())&lt;=VLOOKUP(N310,Schichten!$A$5:$G$24,3,FALSE()),1,0))</f>
        <v>46694.25</v>
      </c>
      <c r="S310" s="28" t="n">
        <f aca="false">IF($A310="","",IF(N(O309)&gt;0,R309,S309))</f>
        <v>46692.9166666667</v>
      </c>
      <c r="T310" s="27" t="n">
        <f aca="false">IF(OR(Q310="",S310=""),"",(Q310-S310)*24)</f>
        <v>24</v>
      </c>
      <c r="U310" s="21" t="n">
        <f aca="false">IF($A310="","",IF(N(O310)&gt;0,N(U309)+1,0))</f>
        <v>5</v>
      </c>
      <c r="V310" s="21" t="n">
        <f aca="false">IF($A310="","",IF(N(P310)&gt;0,N(V309)+1,0))</f>
        <v>1</v>
      </c>
      <c r="W310" s="21" t="str">
        <f aca="false">IF($A310="","",IF(WEEKDAY($A310,2)&lt;&gt;7,"",IF(AND(OR(Q310="",N(Q310)&gt;=$A310+16/24,N(R310)&lt;=$A310+6/24),OR(S310="",N(S310)&lt;=$A310+6/24)),1,0)))</f>
        <v/>
      </c>
      <c r="X310" s="26" t="str">
        <f aca="false">IF($A310="","",IF(INDEX(Muster!$C$8:$BF$8,1,MOD($A310-Einstellungen!$C$6,Einstellungen!$C$7)+1)="","-",INDEX(Muster!$C$8:$BF$8,1,MOD($A310-Einstellungen!$C$6,Einstellungen!$C$7)+1)))</f>
        <v>S</v>
      </c>
      <c r="Y310" s="27" t="n">
        <f aca="false">IF($A310="","",IFERROR(VLOOKUP(X310,Schichten!$A$5:$G$24,6,FALSE()),0))</f>
        <v>8</v>
      </c>
      <c r="Z310" s="27" t="n">
        <f aca="false">IF($A310="","",IFERROR(VLOOKUP(X310,Schichten!$A$5:$G$24,7,FALSE()),0))</f>
        <v>0</v>
      </c>
      <c r="AA310" s="28" t="n">
        <f aca="false">IF($A310="","",IF(N(Y310)=0,"",$A310+VLOOKUP(X310,Schichten!$A$5:$G$24,3,FALSE())))</f>
        <v>46693.5833333333</v>
      </c>
      <c r="AB310" s="28" t="n">
        <f aca="false">IF(AA310="","",$A310+VLOOKUP(X310,Schichten!$A$5:$G$24,4,FALSE())+IF(VLOOKUP(X310,Schichten!$A$5:$G$24,4,FALSE())&lt;=VLOOKUP(X310,Schichten!$A$5:$G$24,3,FALSE()),1,0))</f>
        <v>46693.9166666667</v>
      </c>
      <c r="AC310" s="28" t="n">
        <f aca="false">IF($A310="","",IF(N(Y309)&gt;0,AB309,AC309))</f>
        <v>46692.5833333333</v>
      </c>
      <c r="AD310" s="27" t="n">
        <f aca="false">IF(OR(AA310="",AC310=""),"",(AA310-AC310)*24)</f>
        <v>24</v>
      </c>
      <c r="AE310" s="21" t="n">
        <f aca="false">IF($A310="","",IF(N(Y310)&gt;0,N(AE309)+1,0))</f>
        <v>3</v>
      </c>
      <c r="AF310" s="21" t="n">
        <f aca="false">IF($A310="","",IF(N(Z310)&gt;0,N(AF309)+1,0))</f>
        <v>0</v>
      </c>
      <c r="AG310" s="21" t="str">
        <f aca="false">IF($A310="","",IF(WEEKDAY($A310,2)&lt;&gt;7,"",IF(AND(OR(AA310="",N(AA310)&gt;=$A310+16/24,N(AB310)&lt;=$A310+6/24),OR(AC310="",N(AC310)&lt;=$A310+6/24)),1,0)))</f>
        <v/>
      </c>
      <c r="AH310" s="26" t="str">
        <f aca="false">IF($A310="","",IF(INDEX(Muster!$C$9:$BF$9,1,MOD($A310-Einstellungen!$C$6,Einstellungen!$C$7)+1)="","-",INDEX(Muster!$C$9:$BF$9,1,MOD($A310-Einstellungen!$C$6,Einstellungen!$C$7)+1)))</f>
        <v>F</v>
      </c>
      <c r="AI310" s="27" t="n">
        <f aca="false">IF($A310="","",IFERROR(VLOOKUP(AH310,Schichten!$A$5:$G$24,6,FALSE()),0))</f>
        <v>8</v>
      </c>
      <c r="AJ310" s="27" t="n">
        <f aca="false">IF($A310="","",IFERROR(VLOOKUP(AH310,Schichten!$A$5:$G$24,7,FALSE()),0))</f>
        <v>0</v>
      </c>
      <c r="AK310" s="28" t="n">
        <f aca="false">IF($A310="","",IF(N(AI310)=0,"",$A310+VLOOKUP(AH310,Schichten!$A$5:$G$24,3,FALSE())))</f>
        <v>46693.25</v>
      </c>
      <c r="AL310" s="28" t="n">
        <f aca="false">IF(AK310="","",$A310+VLOOKUP(AH310,Schichten!$A$5:$G$24,4,FALSE())+IF(VLOOKUP(AH310,Schichten!$A$5:$G$24,4,FALSE())&lt;=VLOOKUP(AH310,Schichten!$A$5:$G$24,3,FALSE()),1,0))</f>
        <v>46693.5833333333</v>
      </c>
      <c r="AM310" s="28" t="n">
        <f aca="false">IF($A310="","",IF(N(AI309)&gt;0,AL309,AM309))</f>
        <v>46691.25</v>
      </c>
      <c r="AN310" s="27" t="n">
        <f aca="false">IF(OR(AK310="",AM310=""),"",(AK310-AM310)*24)</f>
        <v>48</v>
      </c>
      <c r="AO310" s="21" t="n">
        <f aca="false">IF($A310="","",IF(N(AI310)&gt;0,N(AO309)+1,0))</f>
        <v>1</v>
      </c>
      <c r="AP310" s="21" t="n">
        <f aca="false">IF($A310="","",IF(N(AJ310)&gt;0,N(AP309)+1,0))</f>
        <v>0</v>
      </c>
      <c r="AQ310" s="21" t="str">
        <f aca="false">IF($A310="","",IF(WEEKDAY($A310,2)&lt;&gt;7,"",IF(AND(OR(AK310="",N(AK310)&gt;=$A310+16/24,N(AL310)&lt;=$A310+6/24),OR(AM310="",N(AM310)&lt;=$A310+6/24)),1,0)))</f>
        <v/>
      </c>
      <c r="AR310" s="26" t="str">
        <f aca="false">IF($A310="","",IF(INDEX(Muster!$C$10:$BF$10,1,MOD($A310-Einstellungen!$C$6,Einstellungen!$C$7)+1)="","-",INDEX(Muster!$C$10:$BF$10,1,MOD($A310-Einstellungen!$C$6,Einstellungen!$C$7)+1)))</f>
        <v>-</v>
      </c>
      <c r="AS310" s="27" t="n">
        <f aca="false">IF($A310="","",IFERROR(VLOOKUP(AR310,Schichten!$A$5:$G$24,6,FALSE()),0))</f>
        <v>0</v>
      </c>
      <c r="AT310" s="27" t="n">
        <f aca="false">IF($A310="","",IFERROR(VLOOKUP(AR310,Schichten!$A$5:$G$24,7,FALSE()),0))</f>
        <v>0</v>
      </c>
      <c r="AU310" s="28" t="str">
        <f aca="false">IF($A310="","",IF(N(AS310)=0,"",$A310+VLOOKUP(AR310,Schichten!$A$5:$G$24,3,FALSE())))</f>
        <v/>
      </c>
      <c r="AV310" s="28" t="str">
        <f aca="false">IF(AU310="","",$A310+VLOOKUP(AR310,Schichten!$A$5:$G$24,4,FALSE())+IF(VLOOKUP(AR310,Schichten!$A$5:$G$24,4,FALSE())&lt;=VLOOKUP(AR310,Schichten!$A$5:$G$24,3,FALSE()),1,0))</f>
        <v/>
      </c>
      <c r="AW310" s="28" t="str">
        <f aca="false">IF($A310="","",IF(N(AS309)&gt;0,AV309,AW309))</f>
        <v/>
      </c>
      <c r="AX310" s="27" t="str">
        <f aca="false">IF(OR(AU310="",AW310=""),"",(AU310-AW310)*24)</f>
        <v/>
      </c>
      <c r="AY310" s="21" t="n">
        <f aca="false">IF($A310="","",IF(N(AS310)&gt;0,N(AY309)+1,0))</f>
        <v>0</v>
      </c>
      <c r="AZ310" s="21" t="n">
        <f aca="false">IF($A310="","",IF(N(AT310)&gt;0,N(AZ309)+1,0))</f>
        <v>0</v>
      </c>
      <c r="BA310" s="21" t="str">
        <f aca="false">IF($A310="","",IF(WEEKDAY($A310,2)&lt;&gt;7,"",IF(AND(OR(AU310="",N(AU310)&gt;=$A310+16/24,N(AV310)&lt;=$A310+6/24),OR(AW310="",N(AW310)&lt;=$A310+6/24)),1,0)))</f>
        <v/>
      </c>
    </row>
    <row r="311" customFormat="false" ht="15" hidden="false" customHeight="false" outlineLevel="0" collapsed="false">
      <c r="A311" s="25" t="n">
        <f aca="false">IF(YEAR(DATE(Einstellungen!$C$4,1,1)+306)=Einstellungen!$C$4,DATE(Einstellungen!$C$4,1,1)+306,"")</f>
        <v>46694</v>
      </c>
      <c r="B311" s="26" t="str">
        <f aca="false">IF($A311="","",CHOOSE(WEEKDAY($A311,2),"Mo","Di","Mi","Do","Fr","Sa","So"))</f>
        <v>Mi</v>
      </c>
      <c r="C311" s="26" t="n">
        <f aca="false">IF($A311="","",MONTH($A311))</f>
        <v>11</v>
      </c>
      <c r="D311" s="26" t="str">
        <f aca="false">IF($A311="","",IF(INDEX(Muster!$C$6:$BF$6,1,MOD($A311-Einstellungen!$C$6,Einstellungen!$C$7)+1)="","-",INDEX(Muster!$C$6:$BF$6,1,MOD($A311-Einstellungen!$C$6,Einstellungen!$C$7)+1)))</f>
        <v>-</v>
      </c>
      <c r="E311" s="27" t="n">
        <f aca="false">IF($A311="","",IFERROR(VLOOKUP(D311,Schichten!$A$5:$G$24,6,FALSE()),0))</f>
        <v>0</v>
      </c>
      <c r="F311" s="27" t="n">
        <f aca="false">IF($A311="","",IFERROR(VLOOKUP(D311,Schichten!$A$5:$G$24,7,FALSE()),0))</f>
        <v>0</v>
      </c>
      <c r="G311" s="28" t="str">
        <f aca="false">IF($A311="","",IF(N(E311)=0,"",$A311+VLOOKUP(D311,Schichten!$A$5:$G$24,3,FALSE())))</f>
        <v/>
      </c>
      <c r="H311" s="28" t="str">
        <f aca="false">IF(G311="","",$A311+VLOOKUP(D311,Schichten!$A$5:$G$24,4,FALSE())+IF(VLOOKUP(D311,Schichten!$A$5:$G$24,4,FALSE())&lt;=VLOOKUP(D311,Schichten!$A$5:$G$24,3,FALSE()),1,0))</f>
        <v/>
      </c>
      <c r="I311" s="28" t="n">
        <f aca="false">IF($A311="","",IF(N(E310)&gt;0,H310,I310))</f>
        <v>46693.25</v>
      </c>
      <c r="J311" s="27" t="str">
        <f aca="false">IF(OR(G311="",I311=""),"",(G311-I311)*24)</f>
        <v/>
      </c>
      <c r="K311" s="21" t="n">
        <f aca="false">IF($A311="","",IF(N(E311)&gt;0,N(K310)+1,0))</f>
        <v>0</v>
      </c>
      <c r="L311" s="21" t="n">
        <f aca="false">IF($A311="","",IF(N(F311)&gt;0,N(L310)+1,0))</f>
        <v>0</v>
      </c>
      <c r="M311" s="21" t="str">
        <f aca="false">IF($A311="","",IF(WEEKDAY($A311,2)&lt;&gt;7,"",IF(AND(OR(G311="",N(G311)&gt;=$A311+16/24,N(H311)&lt;=$A311+6/24),OR(I311="",N(I311)&lt;=$A311+6/24)),1,0)))</f>
        <v/>
      </c>
      <c r="N311" s="26" t="str">
        <f aca="false">IF($A311="","",IF(INDEX(Muster!$C$7:$BF$7,1,MOD($A311-Einstellungen!$C$6,Einstellungen!$C$7)+1)="","-",INDEX(Muster!$C$7:$BF$7,1,MOD($A311-Einstellungen!$C$6,Einstellungen!$C$7)+1)))</f>
        <v>N</v>
      </c>
      <c r="O311" s="27" t="n">
        <f aca="false">IF($A311="","",IFERROR(VLOOKUP(N311,Schichten!$A$5:$G$24,6,FALSE()),0))</f>
        <v>8</v>
      </c>
      <c r="P311" s="27" t="n">
        <f aca="false">IF($A311="","",IFERROR(VLOOKUP(N311,Schichten!$A$5:$G$24,7,FALSE()),0))</f>
        <v>7</v>
      </c>
      <c r="Q311" s="28" t="n">
        <f aca="false">IF($A311="","",IF(N(O311)=0,"",$A311+VLOOKUP(N311,Schichten!$A$5:$G$24,3,FALSE())))</f>
        <v>46694.9166666667</v>
      </c>
      <c r="R311" s="28" t="n">
        <f aca="false">IF(Q311="","",$A311+VLOOKUP(N311,Schichten!$A$5:$G$24,4,FALSE())+IF(VLOOKUP(N311,Schichten!$A$5:$G$24,4,FALSE())&lt;=VLOOKUP(N311,Schichten!$A$5:$G$24,3,FALSE()),1,0))</f>
        <v>46695.25</v>
      </c>
      <c r="S311" s="28" t="n">
        <f aca="false">IF($A311="","",IF(N(O310)&gt;0,R310,S310))</f>
        <v>46694.25</v>
      </c>
      <c r="T311" s="27" t="n">
        <f aca="false">IF(OR(Q311="",S311=""),"",(Q311-S311)*24)</f>
        <v>16</v>
      </c>
      <c r="U311" s="21" t="n">
        <f aca="false">IF($A311="","",IF(N(O311)&gt;0,N(U310)+1,0))</f>
        <v>6</v>
      </c>
      <c r="V311" s="21" t="n">
        <f aca="false">IF($A311="","",IF(N(P311)&gt;0,N(V310)+1,0))</f>
        <v>2</v>
      </c>
      <c r="W311" s="21" t="str">
        <f aca="false">IF($A311="","",IF(WEEKDAY($A311,2)&lt;&gt;7,"",IF(AND(OR(Q311="",N(Q311)&gt;=$A311+16/24,N(R311)&lt;=$A311+6/24),OR(S311="",N(S311)&lt;=$A311+6/24)),1,0)))</f>
        <v/>
      </c>
      <c r="X311" s="26" t="str">
        <f aca="false">IF($A311="","",IF(INDEX(Muster!$C$8:$BF$8,1,MOD($A311-Einstellungen!$C$6,Einstellungen!$C$7)+1)="","-",INDEX(Muster!$C$8:$BF$8,1,MOD($A311-Einstellungen!$C$6,Einstellungen!$C$7)+1)))</f>
        <v>S</v>
      </c>
      <c r="Y311" s="27" t="n">
        <f aca="false">IF($A311="","",IFERROR(VLOOKUP(X311,Schichten!$A$5:$G$24,6,FALSE()),0))</f>
        <v>8</v>
      </c>
      <c r="Z311" s="27" t="n">
        <f aca="false">IF($A311="","",IFERROR(VLOOKUP(X311,Schichten!$A$5:$G$24,7,FALSE()),0))</f>
        <v>0</v>
      </c>
      <c r="AA311" s="28" t="n">
        <f aca="false">IF($A311="","",IF(N(Y311)=0,"",$A311+VLOOKUP(X311,Schichten!$A$5:$G$24,3,FALSE())))</f>
        <v>46694.5833333333</v>
      </c>
      <c r="AB311" s="28" t="n">
        <f aca="false">IF(AA311="","",$A311+VLOOKUP(X311,Schichten!$A$5:$G$24,4,FALSE())+IF(VLOOKUP(X311,Schichten!$A$5:$G$24,4,FALSE())&lt;=VLOOKUP(X311,Schichten!$A$5:$G$24,3,FALSE()),1,0))</f>
        <v>46694.9166666667</v>
      </c>
      <c r="AC311" s="28" t="n">
        <f aca="false">IF($A311="","",IF(N(Y310)&gt;0,AB310,AC310))</f>
        <v>46693.9166666667</v>
      </c>
      <c r="AD311" s="27" t="n">
        <f aca="false">IF(OR(AA311="",AC311=""),"",(AA311-AC311)*24)</f>
        <v>16</v>
      </c>
      <c r="AE311" s="21" t="n">
        <f aca="false">IF($A311="","",IF(N(Y311)&gt;0,N(AE310)+1,0))</f>
        <v>4</v>
      </c>
      <c r="AF311" s="21" t="n">
        <f aca="false">IF($A311="","",IF(N(Z311)&gt;0,N(AF310)+1,0))</f>
        <v>0</v>
      </c>
      <c r="AG311" s="21" t="str">
        <f aca="false">IF($A311="","",IF(WEEKDAY($A311,2)&lt;&gt;7,"",IF(AND(OR(AA311="",N(AA311)&gt;=$A311+16/24,N(AB311)&lt;=$A311+6/24),OR(AC311="",N(AC311)&lt;=$A311+6/24)),1,0)))</f>
        <v/>
      </c>
      <c r="AH311" s="26" t="str">
        <f aca="false">IF($A311="","",IF(INDEX(Muster!$C$9:$BF$9,1,MOD($A311-Einstellungen!$C$6,Einstellungen!$C$7)+1)="","-",INDEX(Muster!$C$9:$BF$9,1,MOD($A311-Einstellungen!$C$6,Einstellungen!$C$7)+1)))</f>
        <v>F</v>
      </c>
      <c r="AI311" s="27" t="n">
        <f aca="false">IF($A311="","",IFERROR(VLOOKUP(AH311,Schichten!$A$5:$G$24,6,FALSE()),0))</f>
        <v>8</v>
      </c>
      <c r="AJ311" s="27" t="n">
        <f aca="false">IF($A311="","",IFERROR(VLOOKUP(AH311,Schichten!$A$5:$G$24,7,FALSE()),0))</f>
        <v>0</v>
      </c>
      <c r="AK311" s="28" t="n">
        <f aca="false">IF($A311="","",IF(N(AI311)=0,"",$A311+VLOOKUP(AH311,Schichten!$A$5:$G$24,3,FALSE())))</f>
        <v>46694.25</v>
      </c>
      <c r="AL311" s="28" t="n">
        <f aca="false">IF(AK311="","",$A311+VLOOKUP(AH311,Schichten!$A$5:$G$24,4,FALSE())+IF(VLOOKUP(AH311,Schichten!$A$5:$G$24,4,FALSE())&lt;=VLOOKUP(AH311,Schichten!$A$5:$G$24,3,FALSE()),1,0))</f>
        <v>46694.5833333333</v>
      </c>
      <c r="AM311" s="28" t="n">
        <f aca="false">IF($A311="","",IF(N(AI310)&gt;0,AL310,AM310))</f>
        <v>46693.5833333333</v>
      </c>
      <c r="AN311" s="27" t="n">
        <f aca="false">IF(OR(AK311="",AM311=""),"",(AK311-AM311)*24)</f>
        <v>16</v>
      </c>
      <c r="AO311" s="21" t="n">
        <f aca="false">IF($A311="","",IF(N(AI311)&gt;0,N(AO310)+1,0))</f>
        <v>2</v>
      </c>
      <c r="AP311" s="21" t="n">
        <f aca="false">IF($A311="","",IF(N(AJ311)&gt;0,N(AP310)+1,0))</f>
        <v>0</v>
      </c>
      <c r="AQ311" s="21" t="str">
        <f aca="false">IF($A311="","",IF(WEEKDAY($A311,2)&lt;&gt;7,"",IF(AND(OR(AK311="",N(AK311)&gt;=$A311+16/24,N(AL311)&lt;=$A311+6/24),OR(AM311="",N(AM311)&lt;=$A311+6/24)),1,0)))</f>
        <v/>
      </c>
      <c r="AR311" s="26" t="str">
        <f aca="false">IF($A311="","",IF(INDEX(Muster!$C$10:$BF$10,1,MOD($A311-Einstellungen!$C$6,Einstellungen!$C$7)+1)="","-",INDEX(Muster!$C$10:$BF$10,1,MOD($A311-Einstellungen!$C$6,Einstellungen!$C$7)+1)))</f>
        <v>-</v>
      </c>
      <c r="AS311" s="27" t="n">
        <f aca="false">IF($A311="","",IFERROR(VLOOKUP(AR311,Schichten!$A$5:$G$24,6,FALSE()),0))</f>
        <v>0</v>
      </c>
      <c r="AT311" s="27" t="n">
        <f aca="false">IF($A311="","",IFERROR(VLOOKUP(AR311,Schichten!$A$5:$G$24,7,FALSE()),0))</f>
        <v>0</v>
      </c>
      <c r="AU311" s="28" t="str">
        <f aca="false">IF($A311="","",IF(N(AS311)=0,"",$A311+VLOOKUP(AR311,Schichten!$A$5:$G$24,3,FALSE())))</f>
        <v/>
      </c>
      <c r="AV311" s="28" t="str">
        <f aca="false">IF(AU311="","",$A311+VLOOKUP(AR311,Schichten!$A$5:$G$24,4,FALSE())+IF(VLOOKUP(AR311,Schichten!$A$5:$G$24,4,FALSE())&lt;=VLOOKUP(AR311,Schichten!$A$5:$G$24,3,FALSE()),1,0))</f>
        <v/>
      </c>
      <c r="AW311" s="28" t="str">
        <f aca="false">IF($A311="","",IF(N(AS310)&gt;0,AV310,AW310))</f>
        <v/>
      </c>
      <c r="AX311" s="27" t="str">
        <f aca="false">IF(OR(AU311="",AW311=""),"",(AU311-AW311)*24)</f>
        <v/>
      </c>
      <c r="AY311" s="21" t="n">
        <f aca="false">IF($A311="","",IF(N(AS311)&gt;0,N(AY310)+1,0))</f>
        <v>0</v>
      </c>
      <c r="AZ311" s="21" t="n">
        <f aca="false">IF($A311="","",IF(N(AT311)&gt;0,N(AZ310)+1,0))</f>
        <v>0</v>
      </c>
      <c r="BA311" s="21" t="str">
        <f aca="false">IF($A311="","",IF(WEEKDAY($A311,2)&lt;&gt;7,"",IF(AND(OR(AU311="",N(AU311)&gt;=$A311+16/24,N(AV311)&lt;=$A311+6/24),OR(AW311="",N(AW311)&lt;=$A311+6/24)),1,0)))</f>
        <v/>
      </c>
    </row>
    <row r="312" customFormat="false" ht="15" hidden="false" customHeight="false" outlineLevel="0" collapsed="false">
      <c r="A312" s="25" t="n">
        <f aca="false">IF(YEAR(DATE(Einstellungen!$C$4,1,1)+307)=Einstellungen!$C$4,DATE(Einstellungen!$C$4,1,1)+307,"")</f>
        <v>46695</v>
      </c>
      <c r="B312" s="26" t="str">
        <f aca="false">IF($A312="","",CHOOSE(WEEKDAY($A312,2),"Mo","Di","Mi","Do","Fr","Sa","So"))</f>
        <v>Do</v>
      </c>
      <c r="C312" s="26" t="n">
        <f aca="false">IF($A312="","",MONTH($A312))</f>
        <v>11</v>
      </c>
      <c r="D312" s="26" t="str">
        <f aca="false">IF($A312="","",IF(INDEX(Muster!$C$6:$BF$6,1,MOD($A312-Einstellungen!$C$6,Einstellungen!$C$7)+1)="","-",INDEX(Muster!$C$6:$BF$6,1,MOD($A312-Einstellungen!$C$6,Einstellungen!$C$7)+1)))</f>
        <v>F</v>
      </c>
      <c r="E312" s="27" t="n">
        <f aca="false">IF($A312="","",IFERROR(VLOOKUP(D312,Schichten!$A$5:$G$24,6,FALSE()),0))</f>
        <v>8</v>
      </c>
      <c r="F312" s="27" t="n">
        <f aca="false">IF($A312="","",IFERROR(VLOOKUP(D312,Schichten!$A$5:$G$24,7,FALSE()),0))</f>
        <v>0</v>
      </c>
      <c r="G312" s="28" t="n">
        <f aca="false">IF($A312="","",IF(N(E312)=0,"",$A312+VLOOKUP(D312,Schichten!$A$5:$G$24,3,FALSE())))</f>
        <v>46695.25</v>
      </c>
      <c r="H312" s="28" t="n">
        <f aca="false">IF(G312="","",$A312+VLOOKUP(D312,Schichten!$A$5:$G$24,4,FALSE())+IF(VLOOKUP(D312,Schichten!$A$5:$G$24,4,FALSE())&lt;=VLOOKUP(D312,Schichten!$A$5:$G$24,3,FALSE()),1,0))</f>
        <v>46695.5833333333</v>
      </c>
      <c r="I312" s="28" t="n">
        <f aca="false">IF($A312="","",IF(N(E311)&gt;0,H311,I311))</f>
        <v>46693.25</v>
      </c>
      <c r="J312" s="27" t="n">
        <f aca="false">IF(OR(G312="",I312=""),"",(G312-I312)*24)</f>
        <v>48</v>
      </c>
      <c r="K312" s="21" t="n">
        <f aca="false">IF($A312="","",IF(N(E312)&gt;0,N(K311)+1,0))</f>
        <v>1</v>
      </c>
      <c r="L312" s="21" t="n">
        <f aca="false">IF($A312="","",IF(N(F312)&gt;0,N(L311)+1,0))</f>
        <v>0</v>
      </c>
      <c r="M312" s="21" t="str">
        <f aca="false">IF($A312="","",IF(WEEKDAY($A312,2)&lt;&gt;7,"",IF(AND(OR(G312="",N(G312)&gt;=$A312+16/24,N(H312)&lt;=$A312+6/24),OR(I312="",N(I312)&lt;=$A312+6/24)),1,0)))</f>
        <v/>
      </c>
      <c r="N312" s="26" t="str">
        <f aca="false">IF($A312="","",IF(INDEX(Muster!$C$7:$BF$7,1,MOD($A312-Einstellungen!$C$6,Einstellungen!$C$7)+1)="","-",INDEX(Muster!$C$7:$BF$7,1,MOD($A312-Einstellungen!$C$6,Einstellungen!$C$7)+1)))</f>
        <v>-</v>
      </c>
      <c r="O312" s="27" t="n">
        <f aca="false">IF($A312="","",IFERROR(VLOOKUP(N312,Schichten!$A$5:$G$24,6,FALSE()),0))</f>
        <v>0</v>
      </c>
      <c r="P312" s="27" t="n">
        <f aca="false">IF($A312="","",IFERROR(VLOOKUP(N312,Schichten!$A$5:$G$24,7,FALSE()),0))</f>
        <v>0</v>
      </c>
      <c r="Q312" s="28" t="str">
        <f aca="false">IF($A312="","",IF(N(O312)=0,"",$A312+VLOOKUP(N312,Schichten!$A$5:$G$24,3,FALSE())))</f>
        <v/>
      </c>
      <c r="R312" s="28" t="str">
        <f aca="false">IF(Q312="","",$A312+VLOOKUP(N312,Schichten!$A$5:$G$24,4,FALSE())+IF(VLOOKUP(N312,Schichten!$A$5:$G$24,4,FALSE())&lt;=VLOOKUP(N312,Schichten!$A$5:$G$24,3,FALSE()),1,0))</f>
        <v/>
      </c>
      <c r="S312" s="28" t="n">
        <f aca="false">IF($A312="","",IF(N(O311)&gt;0,R311,S311))</f>
        <v>46695.25</v>
      </c>
      <c r="T312" s="27" t="str">
        <f aca="false">IF(OR(Q312="",S312=""),"",(Q312-S312)*24)</f>
        <v/>
      </c>
      <c r="U312" s="21" t="n">
        <f aca="false">IF($A312="","",IF(N(O312)&gt;0,N(U311)+1,0))</f>
        <v>0</v>
      </c>
      <c r="V312" s="21" t="n">
        <f aca="false">IF($A312="","",IF(N(P312)&gt;0,N(V311)+1,0))</f>
        <v>0</v>
      </c>
      <c r="W312" s="21" t="str">
        <f aca="false">IF($A312="","",IF(WEEKDAY($A312,2)&lt;&gt;7,"",IF(AND(OR(Q312="",N(Q312)&gt;=$A312+16/24,N(R312)&lt;=$A312+6/24),OR(S312="",N(S312)&lt;=$A312+6/24)),1,0)))</f>
        <v/>
      </c>
      <c r="X312" s="26" t="str">
        <f aca="false">IF($A312="","",IF(INDEX(Muster!$C$8:$BF$8,1,MOD($A312-Einstellungen!$C$6,Einstellungen!$C$7)+1)="","-",INDEX(Muster!$C$8:$BF$8,1,MOD($A312-Einstellungen!$C$6,Einstellungen!$C$7)+1)))</f>
        <v>N</v>
      </c>
      <c r="Y312" s="27" t="n">
        <f aca="false">IF($A312="","",IFERROR(VLOOKUP(X312,Schichten!$A$5:$G$24,6,FALSE()),0))</f>
        <v>8</v>
      </c>
      <c r="Z312" s="27" t="n">
        <f aca="false">IF($A312="","",IFERROR(VLOOKUP(X312,Schichten!$A$5:$G$24,7,FALSE()),0))</f>
        <v>7</v>
      </c>
      <c r="AA312" s="28" t="n">
        <f aca="false">IF($A312="","",IF(N(Y312)=0,"",$A312+VLOOKUP(X312,Schichten!$A$5:$G$24,3,FALSE())))</f>
        <v>46695.9166666667</v>
      </c>
      <c r="AB312" s="28" t="n">
        <f aca="false">IF(AA312="","",$A312+VLOOKUP(X312,Schichten!$A$5:$G$24,4,FALSE())+IF(VLOOKUP(X312,Schichten!$A$5:$G$24,4,FALSE())&lt;=VLOOKUP(X312,Schichten!$A$5:$G$24,3,FALSE()),1,0))</f>
        <v>46696.25</v>
      </c>
      <c r="AC312" s="28" t="n">
        <f aca="false">IF($A312="","",IF(N(Y311)&gt;0,AB311,AC311))</f>
        <v>46694.9166666667</v>
      </c>
      <c r="AD312" s="27" t="n">
        <f aca="false">IF(OR(AA312="",AC312=""),"",(AA312-AC312)*24)</f>
        <v>24</v>
      </c>
      <c r="AE312" s="21" t="n">
        <f aca="false">IF($A312="","",IF(N(Y312)&gt;0,N(AE311)+1,0))</f>
        <v>5</v>
      </c>
      <c r="AF312" s="21" t="n">
        <f aca="false">IF($A312="","",IF(N(Z312)&gt;0,N(AF311)+1,0))</f>
        <v>1</v>
      </c>
      <c r="AG312" s="21" t="str">
        <f aca="false">IF($A312="","",IF(WEEKDAY($A312,2)&lt;&gt;7,"",IF(AND(OR(AA312="",N(AA312)&gt;=$A312+16/24,N(AB312)&lt;=$A312+6/24),OR(AC312="",N(AC312)&lt;=$A312+6/24)),1,0)))</f>
        <v/>
      </c>
      <c r="AH312" s="26" t="str">
        <f aca="false">IF($A312="","",IF(INDEX(Muster!$C$9:$BF$9,1,MOD($A312-Einstellungen!$C$6,Einstellungen!$C$7)+1)="","-",INDEX(Muster!$C$9:$BF$9,1,MOD($A312-Einstellungen!$C$6,Einstellungen!$C$7)+1)))</f>
        <v>S</v>
      </c>
      <c r="AI312" s="27" t="n">
        <f aca="false">IF($A312="","",IFERROR(VLOOKUP(AH312,Schichten!$A$5:$G$24,6,FALSE()),0))</f>
        <v>8</v>
      </c>
      <c r="AJ312" s="27" t="n">
        <f aca="false">IF($A312="","",IFERROR(VLOOKUP(AH312,Schichten!$A$5:$G$24,7,FALSE()),0))</f>
        <v>0</v>
      </c>
      <c r="AK312" s="28" t="n">
        <f aca="false">IF($A312="","",IF(N(AI312)=0,"",$A312+VLOOKUP(AH312,Schichten!$A$5:$G$24,3,FALSE())))</f>
        <v>46695.5833333333</v>
      </c>
      <c r="AL312" s="28" t="n">
        <f aca="false">IF(AK312="","",$A312+VLOOKUP(AH312,Schichten!$A$5:$G$24,4,FALSE())+IF(VLOOKUP(AH312,Schichten!$A$5:$G$24,4,FALSE())&lt;=VLOOKUP(AH312,Schichten!$A$5:$G$24,3,FALSE()),1,0))</f>
        <v>46695.9166666667</v>
      </c>
      <c r="AM312" s="28" t="n">
        <f aca="false">IF($A312="","",IF(N(AI311)&gt;0,AL311,AM311))</f>
        <v>46694.5833333333</v>
      </c>
      <c r="AN312" s="27" t="n">
        <f aca="false">IF(OR(AK312="",AM312=""),"",(AK312-AM312)*24)</f>
        <v>24</v>
      </c>
      <c r="AO312" s="21" t="n">
        <f aca="false">IF($A312="","",IF(N(AI312)&gt;0,N(AO311)+1,0))</f>
        <v>3</v>
      </c>
      <c r="AP312" s="21" t="n">
        <f aca="false">IF($A312="","",IF(N(AJ312)&gt;0,N(AP311)+1,0))</f>
        <v>0</v>
      </c>
      <c r="AQ312" s="21" t="str">
        <f aca="false">IF($A312="","",IF(WEEKDAY($A312,2)&lt;&gt;7,"",IF(AND(OR(AK312="",N(AK312)&gt;=$A312+16/24,N(AL312)&lt;=$A312+6/24),OR(AM312="",N(AM312)&lt;=$A312+6/24)),1,0)))</f>
        <v/>
      </c>
      <c r="AR312" s="26" t="str">
        <f aca="false">IF($A312="","",IF(INDEX(Muster!$C$10:$BF$10,1,MOD($A312-Einstellungen!$C$6,Einstellungen!$C$7)+1)="","-",INDEX(Muster!$C$10:$BF$10,1,MOD($A312-Einstellungen!$C$6,Einstellungen!$C$7)+1)))</f>
        <v>-</v>
      </c>
      <c r="AS312" s="27" t="n">
        <f aca="false">IF($A312="","",IFERROR(VLOOKUP(AR312,Schichten!$A$5:$G$24,6,FALSE()),0))</f>
        <v>0</v>
      </c>
      <c r="AT312" s="27" t="n">
        <f aca="false">IF($A312="","",IFERROR(VLOOKUP(AR312,Schichten!$A$5:$G$24,7,FALSE()),0))</f>
        <v>0</v>
      </c>
      <c r="AU312" s="28" t="str">
        <f aca="false">IF($A312="","",IF(N(AS312)=0,"",$A312+VLOOKUP(AR312,Schichten!$A$5:$G$24,3,FALSE())))</f>
        <v/>
      </c>
      <c r="AV312" s="28" t="str">
        <f aca="false">IF(AU312="","",$A312+VLOOKUP(AR312,Schichten!$A$5:$G$24,4,FALSE())+IF(VLOOKUP(AR312,Schichten!$A$5:$G$24,4,FALSE())&lt;=VLOOKUP(AR312,Schichten!$A$5:$G$24,3,FALSE()),1,0))</f>
        <v/>
      </c>
      <c r="AW312" s="28" t="str">
        <f aca="false">IF($A312="","",IF(N(AS311)&gt;0,AV311,AW311))</f>
        <v/>
      </c>
      <c r="AX312" s="27" t="str">
        <f aca="false">IF(OR(AU312="",AW312=""),"",(AU312-AW312)*24)</f>
        <v/>
      </c>
      <c r="AY312" s="21" t="n">
        <f aca="false">IF($A312="","",IF(N(AS312)&gt;0,N(AY311)+1,0))</f>
        <v>0</v>
      </c>
      <c r="AZ312" s="21" t="n">
        <f aca="false">IF($A312="","",IF(N(AT312)&gt;0,N(AZ311)+1,0))</f>
        <v>0</v>
      </c>
      <c r="BA312" s="21" t="str">
        <f aca="false">IF($A312="","",IF(WEEKDAY($A312,2)&lt;&gt;7,"",IF(AND(OR(AU312="",N(AU312)&gt;=$A312+16/24,N(AV312)&lt;=$A312+6/24),OR(AW312="",N(AW312)&lt;=$A312+6/24)),1,0)))</f>
        <v/>
      </c>
    </row>
    <row r="313" customFormat="false" ht="15" hidden="false" customHeight="false" outlineLevel="0" collapsed="false">
      <c r="A313" s="25" t="n">
        <f aca="false">IF(YEAR(DATE(Einstellungen!$C$4,1,1)+308)=Einstellungen!$C$4,DATE(Einstellungen!$C$4,1,1)+308,"")</f>
        <v>46696</v>
      </c>
      <c r="B313" s="26" t="str">
        <f aca="false">IF($A313="","",CHOOSE(WEEKDAY($A313,2),"Mo","Di","Mi","Do","Fr","Sa","So"))</f>
        <v>Fr</v>
      </c>
      <c r="C313" s="26" t="n">
        <f aca="false">IF($A313="","",MONTH($A313))</f>
        <v>11</v>
      </c>
      <c r="D313" s="26" t="str">
        <f aca="false">IF($A313="","",IF(INDEX(Muster!$C$6:$BF$6,1,MOD($A313-Einstellungen!$C$6,Einstellungen!$C$7)+1)="","-",INDEX(Muster!$C$6:$BF$6,1,MOD($A313-Einstellungen!$C$6,Einstellungen!$C$7)+1)))</f>
        <v>F</v>
      </c>
      <c r="E313" s="27" t="n">
        <f aca="false">IF($A313="","",IFERROR(VLOOKUP(D313,Schichten!$A$5:$G$24,6,FALSE()),0))</f>
        <v>8</v>
      </c>
      <c r="F313" s="27" t="n">
        <f aca="false">IF($A313="","",IFERROR(VLOOKUP(D313,Schichten!$A$5:$G$24,7,FALSE()),0))</f>
        <v>0</v>
      </c>
      <c r="G313" s="28" t="n">
        <f aca="false">IF($A313="","",IF(N(E313)=0,"",$A313+VLOOKUP(D313,Schichten!$A$5:$G$24,3,FALSE())))</f>
        <v>46696.25</v>
      </c>
      <c r="H313" s="28" t="n">
        <f aca="false">IF(G313="","",$A313+VLOOKUP(D313,Schichten!$A$5:$G$24,4,FALSE())+IF(VLOOKUP(D313,Schichten!$A$5:$G$24,4,FALSE())&lt;=VLOOKUP(D313,Schichten!$A$5:$G$24,3,FALSE()),1,0))</f>
        <v>46696.5833333333</v>
      </c>
      <c r="I313" s="28" t="n">
        <f aca="false">IF($A313="","",IF(N(E312)&gt;0,H312,I312))</f>
        <v>46695.5833333333</v>
      </c>
      <c r="J313" s="27" t="n">
        <f aca="false">IF(OR(G313="",I313=""),"",(G313-I313)*24)</f>
        <v>16</v>
      </c>
      <c r="K313" s="21" t="n">
        <f aca="false">IF($A313="","",IF(N(E313)&gt;0,N(K312)+1,0))</f>
        <v>2</v>
      </c>
      <c r="L313" s="21" t="n">
        <f aca="false">IF($A313="","",IF(N(F313)&gt;0,N(L312)+1,0))</f>
        <v>0</v>
      </c>
      <c r="M313" s="21" t="str">
        <f aca="false">IF($A313="","",IF(WEEKDAY($A313,2)&lt;&gt;7,"",IF(AND(OR(G313="",N(G313)&gt;=$A313+16/24,N(H313)&lt;=$A313+6/24),OR(I313="",N(I313)&lt;=$A313+6/24)),1,0)))</f>
        <v/>
      </c>
      <c r="N313" s="26" t="str">
        <f aca="false">IF($A313="","",IF(INDEX(Muster!$C$7:$BF$7,1,MOD($A313-Einstellungen!$C$6,Einstellungen!$C$7)+1)="","-",INDEX(Muster!$C$7:$BF$7,1,MOD($A313-Einstellungen!$C$6,Einstellungen!$C$7)+1)))</f>
        <v>-</v>
      </c>
      <c r="O313" s="27" t="n">
        <f aca="false">IF($A313="","",IFERROR(VLOOKUP(N313,Schichten!$A$5:$G$24,6,FALSE()),0))</f>
        <v>0</v>
      </c>
      <c r="P313" s="27" t="n">
        <f aca="false">IF($A313="","",IFERROR(VLOOKUP(N313,Schichten!$A$5:$G$24,7,FALSE()),0))</f>
        <v>0</v>
      </c>
      <c r="Q313" s="28" t="str">
        <f aca="false">IF($A313="","",IF(N(O313)=0,"",$A313+VLOOKUP(N313,Schichten!$A$5:$G$24,3,FALSE())))</f>
        <v/>
      </c>
      <c r="R313" s="28" t="str">
        <f aca="false">IF(Q313="","",$A313+VLOOKUP(N313,Schichten!$A$5:$G$24,4,FALSE())+IF(VLOOKUP(N313,Schichten!$A$5:$G$24,4,FALSE())&lt;=VLOOKUP(N313,Schichten!$A$5:$G$24,3,FALSE()),1,0))</f>
        <v/>
      </c>
      <c r="S313" s="28" t="n">
        <f aca="false">IF($A313="","",IF(N(O312)&gt;0,R312,S312))</f>
        <v>46695.25</v>
      </c>
      <c r="T313" s="27" t="str">
        <f aca="false">IF(OR(Q313="",S313=""),"",(Q313-S313)*24)</f>
        <v/>
      </c>
      <c r="U313" s="21" t="n">
        <f aca="false">IF($A313="","",IF(N(O313)&gt;0,N(U312)+1,0))</f>
        <v>0</v>
      </c>
      <c r="V313" s="21" t="n">
        <f aca="false">IF($A313="","",IF(N(P313)&gt;0,N(V312)+1,0))</f>
        <v>0</v>
      </c>
      <c r="W313" s="21" t="str">
        <f aca="false">IF($A313="","",IF(WEEKDAY($A313,2)&lt;&gt;7,"",IF(AND(OR(Q313="",N(Q313)&gt;=$A313+16/24,N(R313)&lt;=$A313+6/24),OR(S313="",N(S313)&lt;=$A313+6/24)),1,0)))</f>
        <v/>
      </c>
      <c r="X313" s="26" t="str">
        <f aca="false">IF($A313="","",IF(INDEX(Muster!$C$8:$BF$8,1,MOD($A313-Einstellungen!$C$6,Einstellungen!$C$7)+1)="","-",INDEX(Muster!$C$8:$BF$8,1,MOD($A313-Einstellungen!$C$6,Einstellungen!$C$7)+1)))</f>
        <v>N</v>
      </c>
      <c r="Y313" s="27" t="n">
        <f aca="false">IF($A313="","",IFERROR(VLOOKUP(X313,Schichten!$A$5:$G$24,6,FALSE()),0))</f>
        <v>8</v>
      </c>
      <c r="Z313" s="27" t="n">
        <f aca="false">IF($A313="","",IFERROR(VLOOKUP(X313,Schichten!$A$5:$G$24,7,FALSE()),0))</f>
        <v>7</v>
      </c>
      <c r="AA313" s="28" t="n">
        <f aca="false">IF($A313="","",IF(N(Y313)=0,"",$A313+VLOOKUP(X313,Schichten!$A$5:$G$24,3,FALSE())))</f>
        <v>46696.9166666667</v>
      </c>
      <c r="AB313" s="28" t="n">
        <f aca="false">IF(AA313="","",$A313+VLOOKUP(X313,Schichten!$A$5:$G$24,4,FALSE())+IF(VLOOKUP(X313,Schichten!$A$5:$G$24,4,FALSE())&lt;=VLOOKUP(X313,Schichten!$A$5:$G$24,3,FALSE()),1,0))</f>
        <v>46697.25</v>
      </c>
      <c r="AC313" s="28" t="n">
        <f aca="false">IF($A313="","",IF(N(Y312)&gt;0,AB312,AC312))</f>
        <v>46696.25</v>
      </c>
      <c r="AD313" s="27" t="n">
        <f aca="false">IF(OR(AA313="",AC313=""),"",(AA313-AC313)*24)</f>
        <v>16</v>
      </c>
      <c r="AE313" s="21" t="n">
        <f aca="false">IF($A313="","",IF(N(Y313)&gt;0,N(AE312)+1,0))</f>
        <v>6</v>
      </c>
      <c r="AF313" s="21" t="n">
        <f aca="false">IF($A313="","",IF(N(Z313)&gt;0,N(AF312)+1,0))</f>
        <v>2</v>
      </c>
      <c r="AG313" s="21" t="str">
        <f aca="false">IF($A313="","",IF(WEEKDAY($A313,2)&lt;&gt;7,"",IF(AND(OR(AA313="",N(AA313)&gt;=$A313+16/24,N(AB313)&lt;=$A313+6/24),OR(AC313="",N(AC313)&lt;=$A313+6/24)),1,0)))</f>
        <v/>
      </c>
      <c r="AH313" s="26" t="str">
        <f aca="false">IF($A313="","",IF(INDEX(Muster!$C$9:$BF$9,1,MOD($A313-Einstellungen!$C$6,Einstellungen!$C$7)+1)="","-",INDEX(Muster!$C$9:$BF$9,1,MOD($A313-Einstellungen!$C$6,Einstellungen!$C$7)+1)))</f>
        <v>S</v>
      </c>
      <c r="AI313" s="27" t="n">
        <f aca="false">IF($A313="","",IFERROR(VLOOKUP(AH313,Schichten!$A$5:$G$24,6,FALSE()),0))</f>
        <v>8</v>
      </c>
      <c r="AJ313" s="27" t="n">
        <f aca="false">IF($A313="","",IFERROR(VLOOKUP(AH313,Schichten!$A$5:$G$24,7,FALSE()),0))</f>
        <v>0</v>
      </c>
      <c r="AK313" s="28" t="n">
        <f aca="false">IF($A313="","",IF(N(AI313)=0,"",$A313+VLOOKUP(AH313,Schichten!$A$5:$G$24,3,FALSE())))</f>
        <v>46696.5833333333</v>
      </c>
      <c r="AL313" s="28" t="n">
        <f aca="false">IF(AK313="","",$A313+VLOOKUP(AH313,Schichten!$A$5:$G$24,4,FALSE())+IF(VLOOKUP(AH313,Schichten!$A$5:$G$24,4,FALSE())&lt;=VLOOKUP(AH313,Schichten!$A$5:$G$24,3,FALSE()),1,0))</f>
        <v>46696.9166666667</v>
      </c>
      <c r="AM313" s="28" t="n">
        <f aca="false">IF($A313="","",IF(N(AI312)&gt;0,AL312,AM312))</f>
        <v>46695.9166666667</v>
      </c>
      <c r="AN313" s="27" t="n">
        <f aca="false">IF(OR(AK313="",AM313=""),"",(AK313-AM313)*24)</f>
        <v>16</v>
      </c>
      <c r="AO313" s="21" t="n">
        <f aca="false">IF($A313="","",IF(N(AI313)&gt;0,N(AO312)+1,0))</f>
        <v>4</v>
      </c>
      <c r="AP313" s="21" t="n">
        <f aca="false">IF($A313="","",IF(N(AJ313)&gt;0,N(AP312)+1,0))</f>
        <v>0</v>
      </c>
      <c r="AQ313" s="21" t="str">
        <f aca="false">IF($A313="","",IF(WEEKDAY($A313,2)&lt;&gt;7,"",IF(AND(OR(AK313="",N(AK313)&gt;=$A313+16/24,N(AL313)&lt;=$A313+6/24),OR(AM313="",N(AM313)&lt;=$A313+6/24)),1,0)))</f>
        <v/>
      </c>
      <c r="AR313" s="26" t="str">
        <f aca="false">IF($A313="","",IF(INDEX(Muster!$C$10:$BF$10,1,MOD($A313-Einstellungen!$C$6,Einstellungen!$C$7)+1)="","-",INDEX(Muster!$C$10:$BF$10,1,MOD($A313-Einstellungen!$C$6,Einstellungen!$C$7)+1)))</f>
        <v>-</v>
      </c>
      <c r="AS313" s="27" t="n">
        <f aca="false">IF($A313="","",IFERROR(VLOOKUP(AR313,Schichten!$A$5:$G$24,6,FALSE()),0))</f>
        <v>0</v>
      </c>
      <c r="AT313" s="27" t="n">
        <f aca="false">IF($A313="","",IFERROR(VLOOKUP(AR313,Schichten!$A$5:$G$24,7,FALSE()),0))</f>
        <v>0</v>
      </c>
      <c r="AU313" s="28" t="str">
        <f aca="false">IF($A313="","",IF(N(AS313)=0,"",$A313+VLOOKUP(AR313,Schichten!$A$5:$G$24,3,FALSE())))</f>
        <v/>
      </c>
      <c r="AV313" s="28" t="str">
        <f aca="false">IF(AU313="","",$A313+VLOOKUP(AR313,Schichten!$A$5:$G$24,4,FALSE())+IF(VLOOKUP(AR313,Schichten!$A$5:$G$24,4,FALSE())&lt;=VLOOKUP(AR313,Schichten!$A$5:$G$24,3,FALSE()),1,0))</f>
        <v/>
      </c>
      <c r="AW313" s="28" t="str">
        <f aca="false">IF($A313="","",IF(N(AS312)&gt;0,AV312,AW312))</f>
        <v/>
      </c>
      <c r="AX313" s="27" t="str">
        <f aca="false">IF(OR(AU313="",AW313=""),"",(AU313-AW313)*24)</f>
        <v/>
      </c>
      <c r="AY313" s="21" t="n">
        <f aca="false">IF($A313="","",IF(N(AS313)&gt;0,N(AY312)+1,0))</f>
        <v>0</v>
      </c>
      <c r="AZ313" s="21" t="n">
        <f aca="false">IF($A313="","",IF(N(AT313)&gt;0,N(AZ312)+1,0))</f>
        <v>0</v>
      </c>
      <c r="BA313" s="21" t="str">
        <f aca="false">IF($A313="","",IF(WEEKDAY($A313,2)&lt;&gt;7,"",IF(AND(OR(AU313="",N(AU313)&gt;=$A313+16/24,N(AV313)&lt;=$A313+6/24),OR(AW313="",N(AW313)&lt;=$A313+6/24)),1,0)))</f>
        <v/>
      </c>
    </row>
    <row r="314" customFormat="false" ht="15" hidden="false" customHeight="false" outlineLevel="0" collapsed="false">
      <c r="A314" s="25" t="n">
        <f aca="false">IF(YEAR(DATE(Einstellungen!$C$4,1,1)+309)=Einstellungen!$C$4,DATE(Einstellungen!$C$4,1,1)+309,"")</f>
        <v>46697</v>
      </c>
      <c r="B314" s="26" t="str">
        <f aca="false">IF($A314="","",CHOOSE(WEEKDAY($A314,2),"Mo","Di","Mi","Do","Fr","Sa","So"))</f>
        <v>Sa</v>
      </c>
      <c r="C314" s="26" t="n">
        <f aca="false">IF($A314="","",MONTH($A314))</f>
        <v>11</v>
      </c>
      <c r="D314" s="26" t="str">
        <f aca="false">IF($A314="","",IF(INDEX(Muster!$C$6:$BF$6,1,MOD($A314-Einstellungen!$C$6,Einstellungen!$C$7)+1)="","-",INDEX(Muster!$C$6:$BF$6,1,MOD($A314-Einstellungen!$C$6,Einstellungen!$C$7)+1)))</f>
        <v>S</v>
      </c>
      <c r="E314" s="27" t="n">
        <f aca="false">IF($A314="","",IFERROR(VLOOKUP(D314,Schichten!$A$5:$G$24,6,FALSE()),0))</f>
        <v>8</v>
      </c>
      <c r="F314" s="27" t="n">
        <f aca="false">IF($A314="","",IFERROR(VLOOKUP(D314,Schichten!$A$5:$G$24,7,FALSE()),0))</f>
        <v>0</v>
      </c>
      <c r="G314" s="28" t="n">
        <f aca="false">IF($A314="","",IF(N(E314)=0,"",$A314+VLOOKUP(D314,Schichten!$A$5:$G$24,3,FALSE())))</f>
        <v>46697.5833333333</v>
      </c>
      <c r="H314" s="28" t="n">
        <f aca="false">IF(G314="","",$A314+VLOOKUP(D314,Schichten!$A$5:$G$24,4,FALSE())+IF(VLOOKUP(D314,Schichten!$A$5:$G$24,4,FALSE())&lt;=VLOOKUP(D314,Schichten!$A$5:$G$24,3,FALSE()),1,0))</f>
        <v>46697.9166666667</v>
      </c>
      <c r="I314" s="28" t="n">
        <f aca="false">IF($A314="","",IF(N(E313)&gt;0,H313,I313))</f>
        <v>46696.5833333333</v>
      </c>
      <c r="J314" s="27" t="n">
        <f aca="false">IF(OR(G314="",I314=""),"",(G314-I314)*24)</f>
        <v>24</v>
      </c>
      <c r="K314" s="21" t="n">
        <f aca="false">IF($A314="","",IF(N(E314)&gt;0,N(K313)+1,0))</f>
        <v>3</v>
      </c>
      <c r="L314" s="21" t="n">
        <f aca="false">IF($A314="","",IF(N(F314)&gt;0,N(L313)+1,0))</f>
        <v>0</v>
      </c>
      <c r="M314" s="21" t="str">
        <f aca="false">IF($A314="","",IF(WEEKDAY($A314,2)&lt;&gt;7,"",IF(AND(OR(G314="",N(G314)&gt;=$A314+16/24,N(H314)&lt;=$A314+6/24),OR(I314="",N(I314)&lt;=$A314+6/24)),1,0)))</f>
        <v/>
      </c>
      <c r="N314" s="26" t="str">
        <f aca="false">IF($A314="","",IF(INDEX(Muster!$C$7:$BF$7,1,MOD($A314-Einstellungen!$C$6,Einstellungen!$C$7)+1)="","-",INDEX(Muster!$C$7:$BF$7,1,MOD($A314-Einstellungen!$C$6,Einstellungen!$C$7)+1)))</f>
        <v>F</v>
      </c>
      <c r="O314" s="27" t="n">
        <f aca="false">IF($A314="","",IFERROR(VLOOKUP(N314,Schichten!$A$5:$G$24,6,FALSE()),0))</f>
        <v>8</v>
      </c>
      <c r="P314" s="27" t="n">
        <f aca="false">IF($A314="","",IFERROR(VLOOKUP(N314,Schichten!$A$5:$G$24,7,FALSE()),0))</f>
        <v>0</v>
      </c>
      <c r="Q314" s="28" t="n">
        <f aca="false">IF($A314="","",IF(N(O314)=0,"",$A314+VLOOKUP(N314,Schichten!$A$5:$G$24,3,FALSE())))</f>
        <v>46697.25</v>
      </c>
      <c r="R314" s="28" t="n">
        <f aca="false">IF(Q314="","",$A314+VLOOKUP(N314,Schichten!$A$5:$G$24,4,FALSE())+IF(VLOOKUP(N314,Schichten!$A$5:$G$24,4,FALSE())&lt;=VLOOKUP(N314,Schichten!$A$5:$G$24,3,FALSE()),1,0))</f>
        <v>46697.5833333333</v>
      </c>
      <c r="S314" s="28" t="n">
        <f aca="false">IF($A314="","",IF(N(O313)&gt;0,R313,S313))</f>
        <v>46695.25</v>
      </c>
      <c r="T314" s="27" t="n">
        <f aca="false">IF(OR(Q314="",S314=""),"",(Q314-S314)*24)</f>
        <v>48</v>
      </c>
      <c r="U314" s="21" t="n">
        <f aca="false">IF($A314="","",IF(N(O314)&gt;0,N(U313)+1,0))</f>
        <v>1</v>
      </c>
      <c r="V314" s="21" t="n">
        <f aca="false">IF($A314="","",IF(N(P314)&gt;0,N(V313)+1,0))</f>
        <v>0</v>
      </c>
      <c r="W314" s="21" t="str">
        <f aca="false">IF($A314="","",IF(WEEKDAY($A314,2)&lt;&gt;7,"",IF(AND(OR(Q314="",N(Q314)&gt;=$A314+16/24,N(R314)&lt;=$A314+6/24),OR(S314="",N(S314)&lt;=$A314+6/24)),1,0)))</f>
        <v/>
      </c>
      <c r="X314" s="26" t="str">
        <f aca="false">IF($A314="","",IF(INDEX(Muster!$C$8:$BF$8,1,MOD($A314-Einstellungen!$C$6,Einstellungen!$C$7)+1)="","-",INDEX(Muster!$C$8:$BF$8,1,MOD($A314-Einstellungen!$C$6,Einstellungen!$C$7)+1)))</f>
        <v>-</v>
      </c>
      <c r="Y314" s="27" t="n">
        <f aca="false">IF($A314="","",IFERROR(VLOOKUP(X314,Schichten!$A$5:$G$24,6,FALSE()),0))</f>
        <v>0</v>
      </c>
      <c r="Z314" s="27" t="n">
        <f aca="false">IF($A314="","",IFERROR(VLOOKUP(X314,Schichten!$A$5:$G$24,7,FALSE()),0))</f>
        <v>0</v>
      </c>
      <c r="AA314" s="28" t="str">
        <f aca="false">IF($A314="","",IF(N(Y314)=0,"",$A314+VLOOKUP(X314,Schichten!$A$5:$G$24,3,FALSE())))</f>
        <v/>
      </c>
      <c r="AB314" s="28" t="str">
        <f aca="false">IF(AA314="","",$A314+VLOOKUP(X314,Schichten!$A$5:$G$24,4,FALSE())+IF(VLOOKUP(X314,Schichten!$A$5:$G$24,4,FALSE())&lt;=VLOOKUP(X314,Schichten!$A$5:$G$24,3,FALSE()),1,0))</f>
        <v/>
      </c>
      <c r="AC314" s="28" t="n">
        <f aca="false">IF($A314="","",IF(N(Y313)&gt;0,AB313,AC313))</f>
        <v>46697.25</v>
      </c>
      <c r="AD314" s="27" t="str">
        <f aca="false">IF(OR(AA314="",AC314=""),"",(AA314-AC314)*24)</f>
        <v/>
      </c>
      <c r="AE314" s="21" t="n">
        <f aca="false">IF($A314="","",IF(N(Y314)&gt;0,N(AE313)+1,0))</f>
        <v>0</v>
      </c>
      <c r="AF314" s="21" t="n">
        <f aca="false">IF($A314="","",IF(N(Z314)&gt;0,N(AF313)+1,0))</f>
        <v>0</v>
      </c>
      <c r="AG314" s="21" t="str">
        <f aca="false">IF($A314="","",IF(WEEKDAY($A314,2)&lt;&gt;7,"",IF(AND(OR(AA314="",N(AA314)&gt;=$A314+16/24,N(AB314)&lt;=$A314+6/24),OR(AC314="",N(AC314)&lt;=$A314+6/24)),1,0)))</f>
        <v/>
      </c>
      <c r="AH314" s="26" t="str">
        <f aca="false">IF($A314="","",IF(INDEX(Muster!$C$9:$BF$9,1,MOD($A314-Einstellungen!$C$6,Einstellungen!$C$7)+1)="","-",INDEX(Muster!$C$9:$BF$9,1,MOD($A314-Einstellungen!$C$6,Einstellungen!$C$7)+1)))</f>
        <v>N</v>
      </c>
      <c r="AI314" s="27" t="n">
        <f aca="false">IF($A314="","",IFERROR(VLOOKUP(AH314,Schichten!$A$5:$G$24,6,FALSE()),0))</f>
        <v>8</v>
      </c>
      <c r="AJ314" s="27" t="n">
        <f aca="false">IF($A314="","",IFERROR(VLOOKUP(AH314,Schichten!$A$5:$G$24,7,FALSE()),0))</f>
        <v>7</v>
      </c>
      <c r="AK314" s="28" t="n">
        <f aca="false">IF($A314="","",IF(N(AI314)=0,"",$A314+VLOOKUP(AH314,Schichten!$A$5:$G$24,3,FALSE())))</f>
        <v>46697.9166666667</v>
      </c>
      <c r="AL314" s="28" t="n">
        <f aca="false">IF(AK314="","",$A314+VLOOKUP(AH314,Schichten!$A$5:$G$24,4,FALSE())+IF(VLOOKUP(AH314,Schichten!$A$5:$G$24,4,FALSE())&lt;=VLOOKUP(AH314,Schichten!$A$5:$G$24,3,FALSE()),1,0))</f>
        <v>46698.25</v>
      </c>
      <c r="AM314" s="28" t="n">
        <f aca="false">IF($A314="","",IF(N(AI313)&gt;0,AL313,AM313))</f>
        <v>46696.9166666667</v>
      </c>
      <c r="AN314" s="27" t="n">
        <f aca="false">IF(OR(AK314="",AM314=""),"",(AK314-AM314)*24)</f>
        <v>24</v>
      </c>
      <c r="AO314" s="21" t="n">
        <f aca="false">IF($A314="","",IF(N(AI314)&gt;0,N(AO313)+1,0))</f>
        <v>5</v>
      </c>
      <c r="AP314" s="21" t="n">
        <f aca="false">IF($A314="","",IF(N(AJ314)&gt;0,N(AP313)+1,0))</f>
        <v>1</v>
      </c>
      <c r="AQ314" s="21" t="str">
        <f aca="false">IF($A314="","",IF(WEEKDAY($A314,2)&lt;&gt;7,"",IF(AND(OR(AK314="",N(AK314)&gt;=$A314+16/24,N(AL314)&lt;=$A314+6/24),OR(AM314="",N(AM314)&lt;=$A314+6/24)),1,0)))</f>
        <v/>
      </c>
      <c r="AR314" s="26" t="str">
        <f aca="false">IF($A314="","",IF(INDEX(Muster!$C$10:$BF$10,1,MOD($A314-Einstellungen!$C$6,Einstellungen!$C$7)+1)="","-",INDEX(Muster!$C$10:$BF$10,1,MOD($A314-Einstellungen!$C$6,Einstellungen!$C$7)+1)))</f>
        <v>-</v>
      </c>
      <c r="AS314" s="27" t="n">
        <f aca="false">IF($A314="","",IFERROR(VLOOKUP(AR314,Schichten!$A$5:$G$24,6,FALSE()),0))</f>
        <v>0</v>
      </c>
      <c r="AT314" s="27" t="n">
        <f aca="false">IF($A314="","",IFERROR(VLOOKUP(AR314,Schichten!$A$5:$G$24,7,FALSE()),0))</f>
        <v>0</v>
      </c>
      <c r="AU314" s="28" t="str">
        <f aca="false">IF($A314="","",IF(N(AS314)=0,"",$A314+VLOOKUP(AR314,Schichten!$A$5:$G$24,3,FALSE())))</f>
        <v/>
      </c>
      <c r="AV314" s="28" t="str">
        <f aca="false">IF(AU314="","",$A314+VLOOKUP(AR314,Schichten!$A$5:$G$24,4,FALSE())+IF(VLOOKUP(AR314,Schichten!$A$5:$G$24,4,FALSE())&lt;=VLOOKUP(AR314,Schichten!$A$5:$G$24,3,FALSE()),1,0))</f>
        <v/>
      </c>
      <c r="AW314" s="28" t="str">
        <f aca="false">IF($A314="","",IF(N(AS313)&gt;0,AV313,AW313))</f>
        <v/>
      </c>
      <c r="AX314" s="27" t="str">
        <f aca="false">IF(OR(AU314="",AW314=""),"",(AU314-AW314)*24)</f>
        <v/>
      </c>
      <c r="AY314" s="21" t="n">
        <f aca="false">IF($A314="","",IF(N(AS314)&gt;0,N(AY313)+1,0))</f>
        <v>0</v>
      </c>
      <c r="AZ314" s="21" t="n">
        <f aca="false">IF($A314="","",IF(N(AT314)&gt;0,N(AZ313)+1,0))</f>
        <v>0</v>
      </c>
      <c r="BA314" s="21" t="str">
        <f aca="false">IF($A314="","",IF(WEEKDAY($A314,2)&lt;&gt;7,"",IF(AND(OR(AU314="",N(AU314)&gt;=$A314+16/24,N(AV314)&lt;=$A314+6/24),OR(AW314="",N(AW314)&lt;=$A314+6/24)),1,0)))</f>
        <v/>
      </c>
    </row>
    <row r="315" customFormat="false" ht="15" hidden="false" customHeight="false" outlineLevel="0" collapsed="false">
      <c r="A315" s="25" t="n">
        <f aca="false">IF(YEAR(DATE(Einstellungen!$C$4,1,1)+310)=Einstellungen!$C$4,DATE(Einstellungen!$C$4,1,1)+310,"")</f>
        <v>46698</v>
      </c>
      <c r="B315" s="26" t="str">
        <f aca="false">IF($A315="","",CHOOSE(WEEKDAY($A315,2),"Mo","Di","Mi","Do","Fr","Sa","So"))</f>
        <v>So</v>
      </c>
      <c r="C315" s="26" t="n">
        <f aca="false">IF($A315="","",MONTH($A315))</f>
        <v>11</v>
      </c>
      <c r="D315" s="26" t="str">
        <f aca="false">IF($A315="","",IF(INDEX(Muster!$C$6:$BF$6,1,MOD($A315-Einstellungen!$C$6,Einstellungen!$C$7)+1)="","-",INDEX(Muster!$C$6:$BF$6,1,MOD($A315-Einstellungen!$C$6,Einstellungen!$C$7)+1)))</f>
        <v>S</v>
      </c>
      <c r="E315" s="27" t="n">
        <f aca="false">IF($A315="","",IFERROR(VLOOKUP(D315,Schichten!$A$5:$G$24,6,FALSE()),0))</f>
        <v>8</v>
      </c>
      <c r="F315" s="27" t="n">
        <f aca="false">IF($A315="","",IFERROR(VLOOKUP(D315,Schichten!$A$5:$G$24,7,FALSE()),0))</f>
        <v>0</v>
      </c>
      <c r="G315" s="28" t="n">
        <f aca="false">IF($A315="","",IF(N(E315)=0,"",$A315+VLOOKUP(D315,Schichten!$A$5:$G$24,3,FALSE())))</f>
        <v>46698.5833333333</v>
      </c>
      <c r="H315" s="28" t="n">
        <f aca="false">IF(G315="","",$A315+VLOOKUP(D315,Schichten!$A$5:$G$24,4,FALSE())+IF(VLOOKUP(D315,Schichten!$A$5:$G$24,4,FALSE())&lt;=VLOOKUP(D315,Schichten!$A$5:$G$24,3,FALSE()),1,0))</f>
        <v>46698.9166666667</v>
      </c>
      <c r="I315" s="28" t="n">
        <f aca="false">IF($A315="","",IF(N(E314)&gt;0,H314,I314))</f>
        <v>46697.9166666667</v>
      </c>
      <c r="J315" s="27" t="n">
        <f aca="false">IF(OR(G315="",I315=""),"",(G315-I315)*24)</f>
        <v>16</v>
      </c>
      <c r="K315" s="21" t="n">
        <f aca="false">IF($A315="","",IF(N(E315)&gt;0,N(K314)+1,0))</f>
        <v>4</v>
      </c>
      <c r="L315" s="21" t="n">
        <f aca="false">IF($A315="","",IF(N(F315)&gt;0,N(L314)+1,0))</f>
        <v>0</v>
      </c>
      <c r="M315" s="21" t="n">
        <f aca="false">IF($A315="","",IF(WEEKDAY($A315,2)&lt;&gt;7,"",IF(AND(OR(G315="",N(G315)&gt;=$A315+16/24,N(H315)&lt;=$A315+6/24),OR(I315="",N(I315)&lt;=$A315+6/24)),1,0)))</f>
        <v>0</v>
      </c>
      <c r="N315" s="26" t="str">
        <f aca="false">IF($A315="","",IF(INDEX(Muster!$C$7:$BF$7,1,MOD($A315-Einstellungen!$C$6,Einstellungen!$C$7)+1)="","-",INDEX(Muster!$C$7:$BF$7,1,MOD($A315-Einstellungen!$C$6,Einstellungen!$C$7)+1)))</f>
        <v>F</v>
      </c>
      <c r="O315" s="27" t="n">
        <f aca="false">IF($A315="","",IFERROR(VLOOKUP(N315,Schichten!$A$5:$G$24,6,FALSE()),0))</f>
        <v>8</v>
      </c>
      <c r="P315" s="27" t="n">
        <f aca="false">IF($A315="","",IFERROR(VLOOKUP(N315,Schichten!$A$5:$G$24,7,FALSE()),0))</f>
        <v>0</v>
      </c>
      <c r="Q315" s="28" t="n">
        <f aca="false">IF($A315="","",IF(N(O315)=0,"",$A315+VLOOKUP(N315,Schichten!$A$5:$G$24,3,FALSE())))</f>
        <v>46698.25</v>
      </c>
      <c r="R315" s="28" t="n">
        <f aca="false">IF(Q315="","",$A315+VLOOKUP(N315,Schichten!$A$5:$G$24,4,FALSE())+IF(VLOOKUP(N315,Schichten!$A$5:$G$24,4,FALSE())&lt;=VLOOKUP(N315,Schichten!$A$5:$G$24,3,FALSE()),1,0))</f>
        <v>46698.5833333333</v>
      </c>
      <c r="S315" s="28" t="n">
        <f aca="false">IF($A315="","",IF(N(O314)&gt;0,R314,S314))</f>
        <v>46697.5833333333</v>
      </c>
      <c r="T315" s="27" t="n">
        <f aca="false">IF(OR(Q315="",S315=""),"",(Q315-S315)*24)</f>
        <v>16</v>
      </c>
      <c r="U315" s="21" t="n">
        <f aca="false">IF($A315="","",IF(N(O315)&gt;0,N(U314)+1,0))</f>
        <v>2</v>
      </c>
      <c r="V315" s="21" t="n">
        <f aca="false">IF($A315="","",IF(N(P315)&gt;0,N(V314)+1,0))</f>
        <v>0</v>
      </c>
      <c r="W315" s="21" t="n">
        <f aca="false">IF($A315="","",IF(WEEKDAY($A315,2)&lt;&gt;7,"",IF(AND(OR(Q315="",N(Q315)&gt;=$A315+16/24,N(R315)&lt;=$A315+6/24),OR(S315="",N(S315)&lt;=$A315+6/24)),1,0)))</f>
        <v>0</v>
      </c>
      <c r="X315" s="26" t="str">
        <f aca="false">IF($A315="","",IF(INDEX(Muster!$C$8:$BF$8,1,MOD($A315-Einstellungen!$C$6,Einstellungen!$C$7)+1)="","-",INDEX(Muster!$C$8:$BF$8,1,MOD($A315-Einstellungen!$C$6,Einstellungen!$C$7)+1)))</f>
        <v>-</v>
      </c>
      <c r="Y315" s="27" t="n">
        <f aca="false">IF($A315="","",IFERROR(VLOOKUP(X315,Schichten!$A$5:$G$24,6,FALSE()),0))</f>
        <v>0</v>
      </c>
      <c r="Z315" s="27" t="n">
        <f aca="false">IF($A315="","",IFERROR(VLOOKUP(X315,Schichten!$A$5:$G$24,7,FALSE()),0))</f>
        <v>0</v>
      </c>
      <c r="AA315" s="28" t="str">
        <f aca="false">IF($A315="","",IF(N(Y315)=0,"",$A315+VLOOKUP(X315,Schichten!$A$5:$G$24,3,FALSE())))</f>
        <v/>
      </c>
      <c r="AB315" s="28" t="str">
        <f aca="false">IF(AA315="","",$A315+VLOOKUP(X315,Schichten!$A$5:$G$24,4,FALSE())+IF(VLOOKUP(X315,Schichten!$A$5:$G$24,4,FALSE())&lt;=VLOOKUP(X315,Schichten!$A$5:$G$24,3,FALSE()),1,0))</f>
        <v/>
      </c>
      <c r="AC315" s="28" t="n">
        <f aca="false">IF($A315="","",IF(N(Y314)&gt;0,AB314,AC314))</f>
        <v>46697.25</v>
      </c>
      <c r="AD315" s="27" t="str">
        <f aca="false">IF(OR(AA315="",AC315=""),"",(AA315-AC315)*24)</f>
        <v/>
      </c>
      <c r="AE315" s="21" t="n">
        <f aca="false">IF($A315="","",IF(N(Y315)&gt;0,N(AE314)+1,0))</f>
        <v>0</v>
      </c>
      <c r="AF315" s="21" t="n">
        <f aca="false">IF($A315="","",IF(N(Z315)&gt;0,N(AF314)+1,0))</f>
        <v>0</v>
      </c>
      <c r="AG315" s="21" t="n">
        <f aca="false">IF($A315="","",IF(WEEKDAY($A315,2)&lt;&gt;7,"",IF(AND(OR(AA315="",N(AA315)&gt;=$A315+16/24,N(AB315)&lt;=$A315+6/24),OR(AC315="",N(AC315)&lt;=$A315+6/24)),1,0)))</f>
        <v>1</v>
      </c>
      <c r="AH315" s="26" t="str">
        <f aca="false">IF($A315="","",IF(INDEX(Muster!$C$9:$BF$9,1,MOD($A315-Einstellungen!$C$6,Einstellungen!$C$7)+1)="","-",INDEX(Muster!$C$9:$BF$9,1,MOD($A315-Einstellungen!$C$6,Einstellungen!$C$7)+1)))</f>
        <v>N</v>
      </c>
      <c r="AI315" s="27" t="n">
        <f aca="false">IF($A315="","",IFERROR(VLOOKUP(AH315,Schichten!$A$5:$G$24,6,FALSE()),0))</f>
        <v>8</v>
      </c>
      <c r="AJ315" s="27" t="n">
        <f aca="false">IF($A315="","",IFERROR(VLOOKUP(AH315,Schichten!$A$5:$G$24,7,FALSE()),0))</f>
        <v>7</v>
      </c>
      <c r="AK315" s="28" t="n">
        <f aca="false">IF($A315="","",IF(N(AI315)=0,"",$A315+VLOOKUP(AH315,Schichten!$A$5:$G$24,3,FALSE())))</f>
        <v>46698.9166666667</v>
      </c>
      <c r="AL315" s="28" t="n">
        <f aca="false">IF(AK315="","",$A315+VLOOKUP(AH315,Schichten!$A$5:$G$24,4,FALSE())+IF(VLOOKUP(AH315,Schichten!$A$5:$G$24,4,FALSE())&lt;=VLOOKUP(AH315,Schichten!$A$5:$G$24,3,FALSE()),1,0))</f>
        <v>46699.25</v>
      </c>
      <c r="AM315" s="28" t="n">
        <f aca="false">IF($A315="","",IF(N(AI314)&gt;0,AL314,AM314))</f>
        <v>46698.25</v>
      </c>
      <c r="AN315" s="27" t="n">
        <f aca="false">IF(OR(AK315="",AM315=""),"",(AK315-AM315)*24)</f>
        <v>16</v>
      </c>
      <c r="AO315" s="21" t="n">
        <f aca="false">IF($A315="","",IF(N(AI315)&gt;0,N(AO314)+1,0))</f>
        <v>6</v>
      </c>
      <c r="AP315" s="21" t="n">
        <f aca="false">IF($A315="","",IF(N(AJ315)&gt;0,N(AP314)+1,0))</f>
        <v>2</v>
      </c>
      <c r="AQ315" s="21" t="n">
        <f aca="false">IF($A315="","",IF(WEEKDAY($A315,2)&lt;&gt;7,"",IF(AND(OR(AK315="",N(AK315)&gt;=$A315+16/24,N(AL315)&lt;=$A315+6/24),OR(AM315="",N(AM315)&lt;=$A315+6/24)),1,0)))</f>
        <v>1</v>
      </c>
      <c r="AR315" s="26" t="str">
        <f aca="false">IF($A315="","",IF(INDEX(Muster!$C$10:$BF$10,1,MOD($A315-Einstellungen!$C$6,Einstellungen!$C$7)+1)="","-",INDEX(Muster!$C$10:$BF$10,1,MOD($A315-Einstellungen!$C$6,Einstellungen!$C$7)+1)))</f>
        <v>-</v>
      </c>
      <c r="AS315" s="27" t="n">
        <f aca="false">IF($A315="","",IFERROR(VLOOKUP(AR315,Schichten!$A$5:$G$24,6,FALSE()),0))</f>
        <v>0</v>
      </c>
      <c r="AT315" s="27" t="n">
        <f aca="false">IF($A315="","",IFERROR(VLOOKUP(AR315,Schichten!$A$5:$G$24,7,FALSE()),0))</f>
        <v>0</v>
      </c>
      <c r="AU315" s="28" t="str">
        <f aca="false">IF($A315="","",IF(N(AS315)=0,"",$A315+VLOOKUP(AR315,Schichten!$A$5:$G$24,3,FALSE())))</f>
        <v/>
      </c>
      <c r="AV315" s="28" t="str">
        <f aca="false">IF(AU315="","",$A315+VLOOKUP(AR315,Schichten!$A$5:$G$24,4,FALSE())+IF(VLOOKUP(AR315,Schichten!$A$5:$G$24,4,FALSE())&lt;=VLOOKUP(AR315,Schichten!$A$5:$G$24,3,FALSE()),1,0))</f>
        <v/>
      </c>
      <c r="AW315" s="28" t="str">
        <f aca="false">IF($A315="","",IF(N(AS314)&gt;0,AV314,AW314))</f>
        <v/>
      </c>
      <c r="AX315" s="27" t="str">
        <f aca="false">IF(OR(AU315="",AW315=""),"",(AU315-AW315)*24)</f>
        <v/>
      </c>
      <c r="AY315" s="21" t="n">
        <f aca="false">IF($A315="","",IF(N(AS315)&gt;0,N(AY314)+1,0))</f>
        <v>0</v>
      </c>
      <c r="AZ315" s="21" t="n">
        <f aca="false">IF($A315="","",IF(N(AT315)&gt;0,N(AZ314)+1,0))</f>
        <v>0</v>
      </c>
      <c r="BA315" s="21" t="n">
        <f aca="false">IF($A315="","",IF(WEEKDAY($A315,2)&lt;&gt;7,"",IF(AND(OR(AU315="",N(AU315)&gt;=$A315+16/24,N(AV315)&lt;=$A315+6/24),OR(AW315="",N(AW315)&lt;=$A315+6/24)),1,0)))</f>
        <v>1</v>
      </c>
    </row>
    <row r="316" customFormat="false" ht="15" hidden="false" customHeight="false" outlineLevel="0" collapsed="false">
      <c r="A316" s="25" t="n">
        <f aca="false">IF(YEAR(DATE(Einstellungen!$C$4,1,1)+311)=Einstellungen!$C$4,DATE(Einstellungen!$C$4,1,1)+311,"")</f>
        <v>46699</v>
      </c>
      <c r="B316" s="26" t="str">
        <f aca="false">IF($A316="","",CHOOSE(WEEKDAY($A316,2),"Mo","Di","Mi","Do","Fr","Sa","So"))</f>
        <v>Mo</v>
      </c>
      <c r="C316" s="26" t="n">
        <f aca="false">IF($A316="","",MONTH($A316))</f>
        <v>11</v>
      </c>
      <c r="D316" s="26" t="str">
        <f aca="false">IF($A316="","",IF(INDEX(Muster!$C$6:$BF$6,1,MOD($A316-Einstellungen!$C$6,Einstellungen!$C$7)+1)="","-",INDEX(Muster!$C$6:$BF$6,1,MOD($A316-Einstellungen!$C$6,Einstellungen!$C$7)+1)))</f>
        <v>N</v>
      </c>
      <c r="E316" s="27" t="n">
        <f aca="false">IF($A316="","",IFERROR(VLOOKUP(D316,Schichten!$A$5:$G$24,6,FALSE()),0))</f>
        <v>8</v>
      </c>
      <c r="F316" s="27" t="n">
        <f aca="false">IF($A316="","",IFERROR(VLOOKUP(D316,Schichten!$A$5:$G$24,7,FALSE()),0))</f>
        <v>7</v>
      </c>
      <c r="G316" s="28" t="n">
        <f aca="false">IF($A316="","",IF(N(E316)=0,"",$A316+VLOOKUP(D316,Schichten!$A$5:$G$24,3,FALSE())))</f>
        <v>46699.9166666667</v>
      </c>
      <c r="H316" s="28" t="n">
        <f aca="false">IF(G316="","",$A316+VLOOKUP(D316,Schichten!$A$5:$G$24,4,FALSE())+IF(VLOOKUP(D316,Schichten!$A$5:$G$24,4,FALSE())&lt;=VLOOKUP(D316,Schichten!$A$5:$G$24,3,FALSE()),1,0))</f>
        <v>46700.25</v>
      </c>
      <c r="I316" s="28" t="n">
        <f aca="false">IF($A316="","",IF(N(E315)&gt;0,H315,I315))</f>
        <v>46698.9166666667</v>
      </c>
      <c r="J316" s="27" t="n">
        <f aca="false">IF(OR(G316="",I316=""),"",(G316-I316)*24)</f>
        <v>24</v>
      </c>
      <c r="K316" s="21" t="n">
        <f aca="false">IF($A316="","",IF(N(E316)&gt;0,N(K315)+1,0))</f>
        <v>5</v>
      </c>
      <c r="L316" s="21" t="n">
        <f aca="false">IF($A316="","",IF(N(F316)&gt;0,N(L315)+1,0))</f>
        <v>1</v>
      </c>
      <c r="M316" s="21" t="str">
        <f aca="false">IF($A316="","",IF(WEEKDAY($A316,2)&lt;&gt;7,"",IF(AND(OR(G316="",N(G316)&gt;=$A316+16/24,N(H316)&lt;=$A316+6/24),OR(I316="",N(I316)&lt;=$A316+6/24)),1,0)))</f>
        <v/>
      </c>
      <c r="N316" s="26" t="str">
        <f aca="false">IF($A316="","",IF(INDEX(Muster!$C$7:$BF$7,1,MOD($A316-Einstellungen!$C$6,Einstellungen!$C$7)+1)="","-",INDEX(Muster!$C$7:$BF$7,1,MOD($A316-Einstellungen!$C$6,Einstellungen!$C$7)+1)))</f>
        <v>S</v>
      </c>
      <c r="O316" s="27" t="n">
        <f aca="false">IF($A316="","",IFERROR(VLOOKUP(N316,Schichten!$A$5:$G$24,6,FALSE()),0))</f>
        <v>8</v>
      </c>
      <c r="P316" s="27" t="n">
        <f aca="false">IF($A316="","",IFERROR(VLOOKUP(N316,Schichten!$A$5:$G$24,7,FALSE()),0))</f>
        <v>0</v>
      </c>
      <c r="Q316" s="28" t="n">
        <f aca="false">IF($A316="","",IF(N(O316)=0,"",$A316+VLOOKUP(N316,Schichten!$A$5:$G$24,3,FALSE())))</f>
        <v>46699.5833333333</v>
      </c>
      <c r="R316" s="28" t="n">
        <f aca="false">IF(Q316="","",$A316+VLOOKUP(N316,Schichten!$A$5:$G$24,4,FALSE())+IF(VLOOKUP(N316,Schichten!$A$5:$G$24,4,FALSE())&lt;=VLOOKUP(N316,Schichten!$A$5:$G$24,3,FALSE()),1,0))</f>
        <v>46699.9166666667</v>
      </c>
      <c r="S316" s="28" t="n">
        <f aca="false">IF($A316="","",IF(N(O315)&gt;0,R315,S315))</f>
        <v>46698.5833333333</v>
      </c>
      <c r="T316" s="27" t="n">
        <f aca="false">IF(OR(Q316="",S316=""),"",(Q316-S316)*24)</f>
        <v>24</v>
      </c>
      <c r="U316" s="21" t="n">
        <f aca="false">IF($A316="","",IF(N(O316)&gt;0,N(U315)+1,0))</f>
        <v>3</v>
      </c>
      <c r="V316" s="21" t="n">
        <f aca="false">IF($A316="","",IF(N(P316)&gt;0,N(V315)+1,0))</f>
        <v>0</v>
      </c>
      <c r="W316" s="21" t="str">
        <f aca="false">IF($A316="","",IF(WEEKDAY($A316,2)&lt;&gt;7,"",IF(AND(OR(Q316="",N(Q316)&gt;=$A316+16/24,N(R316)&lt;=$A316+6/24),OR(S316="",N(S316)&lt;=$A316+6/24)),1,0)))</f>
        <v/>
      </c>
      <c r="X316" s="26" t="str">
        <f aca="false">IF($A316="","",IF(INDEX(Muster!$C$8:$BF$8,1,MOD($A316-Einstellungen!$C$6,Einstellungen!$C$7)+1)="","-",INDEX(Muster!$C$8:$BF$8,1,MOD($A316-Einstellungen!$C$6,Einstellungen!$C$7)+1)))</f>
        <v>F</v>
      </c>
      <c r="Y316" s="27" t="n">
        <f aca="false">IF($A316="","",IFERROR(VLOOKUP(X316,Schichten!$A$5:$G$24,6,FALSE()),0))</f>
        <v>8</v>
      </c>
      <c r="Z316" s="27" t="n">
        <f aca="false">IF($A316="","",IFERROR(VLOOKUP(X316,Schichten!$A$5:$G$24,7,FALSE()),0))</f>
        <v>0</v>
      </c>
      <c r="AA316" s="28" t="n">
        <f aca="false">IF($A316="","",IF(N(Y316)=0,"",$A316+VLOOKUP(X316,Schichten!$A$5:$G$24,3,FALSE())))</f>
        <v>46699.25</v>
      </c>
      <c r="AB316" s="28" t="n">
        <f aca="false">IF(AA316="","",$A316+VLOOKUP(X316,Schichten!$A$5:$G$24,4,FALSE())+IF(VLOOKUP(X316,Schichten!$A$5:$G$24,4,FALSE())&lt;=VLOOKUP(X316,Schichten!$A$5:$G$24,3,FALSE()),1,0))</f>
        <v>46699.5833333333</v>
      </c>
      <c r="AC316" s="28" t="n">
        <f aca="false">IF($A316="","",IF(N(Y315)&gt;0,AB315,AC315))</f>
        <v>46697.25</v>
      </c>
      <c r="AD316" s="27" t="n">
        <f aca="false">IF(OR(AA316="",AC316=""),"",(AA316-AC316)*24)</f>
        <v>48</v>
      </c>
      <c r="AE316" s="21" t="n">
        <f aca="false">IF($A316="","",IF(N(Y316)&gt;0,N(AE315)+1,0))</f>
        <v>1</v>
      </c>
      <c r="AF316" s="21" t="n">
        <f aca="false">IF($A316="","",IF(N(Z316)&gt;0,N(AF315)+1,0))</f>
        <v>0</v>
      </c>
      <c r="AG316" s="21" t="str">
        <f aca="false">IF($A316="","",IF(WEEKDAY($A316,2)&lt;&gt;7,"",IF(AND(OR(AA316="",N(AA316)&gt;=$A316+16/24,N(AB316)&lt;=$A316+6/24),OR(AC316="",N(AC316)&lt;=$A316+6/24)),1,0)))</f>
        <v/>
      </c>
      <c r="AH316" s="26" t="str">
        <f aca="false">IF($A316="","",IF(INDEX(Muster!$C$9:$BF$9,1,MOD($A316-Einstellungen!$C$6,Einstellungen!$C$7)+1)="","-",INDEX(Muster!$C$9:$BF$9,1,MOD($A316-Einstellungen!$C$6,Einstellungen!$C$7)+1)))</f>
        <v>-</v>
      </c>
      <c r="AI316" s="27" t="n">
        <f aca="false">IF($A316="","",IFERROR(VLOOKUP(AH316,Schichten!$A$5:$G$24,6,FALSE()),0))</f>
        <v>0</v>
      </c>
      <c r="AJ316" s="27" t="n">
        <f aca="false">IF($A316="","",IFERROR(VLOOKUP(AH316,Schichten!$A$5:$G$24,7,FALSE()),0))</f>
        <v>0</v>
      </c>
      <c r="AK316" s="28" t="str">
        <f aca="false">IF($A316="","",IF(N(AI316)=0,"",$A316+VLOOKUP(AH316,Schichten!$A$5:$G$24,3,FALSE())))</f>
        <v/>
      </c>
      <c r="AL316" s="28" t="str">
        <f aca="false">IF(AK316="","",$A316+VLOOKUP(AH316,Schichten!$A$5:$G$24,4,FALSE())+IF(VLOOKUP(AH316,Schichten!$A$5:$G$24,4,FALSE())&lt;=VLOOKUP(AH316,Schichten!$A$5:$G$24,3,FALSE()),1,0))</f>
        <v/>
      </c>
      <c r="AM316" s="28" t="n">
        <f aca="false">IF($A316="","",IF(N(AI315)&gt;0,AL315,AM315))</f>
        <v>46699.25</v>
      </c>
      <c r="AN316" s="27" t="str">
        <f aca="false">IF(OR(AK316="",AM316=""),"",(AK316-AM316)*24)</f>
        <v/>
      </c>
      <c r="AO316" s="21" t="n">
        <f aca="false">IF($A316="","",IF(N(AI316)&gt;0,N(AO315)+1,0))</f>
        <v>0</v>
      </c>
      <c r="AP316" s="21" t="n">
        <f aca="false">IF($A316="","",IF(N(AJ316)&gt;0,N(AP315)+1,0))</f>
        <v>0</v>
      </c>
      <c r="AQ316" s="21" t="str">
        <f aca="false">IF($A316="","",IF(WEEKDAY($A316,2)&lt;&gt;7,"",IF(AND(OR(AK316="",N(AK316)&gt;=$A316+16/24,N(AL316)&lt;=$A316+6/24),OR(AM316="",N(AM316)&lt;=$A316+6/24)),1,0)))</f>
        <v/>
      </c>
      <c r="AR316" s="26" t="str">
        <f aca="false">IF($A316="","",IF(INDEX(Muster!$C$10:$BF$10,1,MOD($A316-Einstellungen!$C$6,Einstellungen!$C$7)+1)="","-",INDEX(Muster!$C$10:$BF$10,1,MOD($A316-Einstellungen!$C$6,Einstellungen!$C$7)+1)))</f>
        <v>-</v>
      </c>
      <c r="AS316" s="27" t="n">
        <f aca="false">IF($A316="","",IFERROR(VLOOKUP(AR316,Schichten!$A$5:$G$24,6,FALSE()),0))</f>
        <v>0</v>
      </c>
      <c r="AT316" s="27" t="n">
        <f aca="false">IF($A316="","",IFERROR(VLOOKUP(AR316,Schichten!$A$5:$G$24,7,FALSE()),0))</f>
        <v>0</v>
      </c>
      <c r="AU316" s="28" t="str">
        <f aca="false">IF($A316="","",IF(N(AS316)=0,"",$A316+VLOOKUP(AR316,Schichten!$A$5:$G$24,3,FALSE())))</f>
        <v/>
      </c>
      <c r="AV316" s="28" t="str">
        <f aca="false">IF(AU316="","",$A316+VLOOKUP(AR316,Schichten!$A$5:$G$24,4,FALSE())+IF(VLOOKUP(AR316,Schichten!$A$5:$G$24,4,FALSE())&lt;=VLOOKUP(AR316,Schichten!$A$5:$G$24,3,FALSE()),1,0))</f>
        <v/>
      </c>
      <c r="AW316" s="28" t="str">
        <f aca="false">IF($A316="","",IF(N(AS315)&gt;0,AV315,AW315))</f>
        <v/>
      </c>
      <c r="AX316" s="27" t="str">
        <f aca="false">IF(OR(AU316="",AW316=""),"",(AU316-AW316)*24)</f>
        <v/>
      </c>
      <c r="AY316" s="21" t="n">
        <f aca="false">IF($A316="","",IF(N(AS316)&gt;0,N(AY315)+1,0))</f>
        <v>0</v>
      </c>
      <c r="AZ316" s="21" t="n">
        <f aca="false">IF($A316="","",IF(N(AT316)&gt;0,N(AZ315)+1,0))</f>
        <v>0</v>
      </c>
      <c r="BA316" s="21" t="str">
        <f aca="false">IF($A316="","",IF(WEEKDAY($A316,2)&lt;&gt;7,"",IF(AND(OR(AU316="",N(AU316)&gt;=$A316+16/24,N(AV316)&lt;=$A316+6/24),OR(AW316="",N(AW316)&lt;=$A316+6/24)),1,0)))</f>
        <v/>
      </c>
    </row>
    <row r="317" customFormat="false" ht="15" hidden="false" customHeight="false" outlineLevel="0" collapsed="false">
      <c r="A317" s="25" t="n">
        <f aca="false">IF(YEAR(DATE(Einstellungen!$C$4,1,1)+312)=Einstellungen!$C$4,DATE(Einstellungen!$C$4,1,1)+312,"")</f>
        <v>46700</v>
      </c>
      <c r="B317" s="26" t="str">
        <f aca="false">IF($A317="","",CHOOSE(WEEKDAY($A317,2),"Mo","Di","Mi","Do","Fr","Sa","So"))</f>
        <v>Di</v>
      </c>
      <c r="C317" s="26" t="n">
        <f aca="false">IF($A317="","",MONTH($A317))</f>
        <v>11</v>
      </c>
      <c r="D317" s="26" t="str">
        <f aca="false">IF($A317="","",IF(INDEX(Muster!$C$6:$BF$6,1,MOD($A317-Einstellungen!$C$6,Einstellungen!$C$7)+1)="","-",INDEX(Muster!$C$6:$BF$6,1,MOD($A317-Einstellungen!$C$6,Einstellungen!$C$7)+1)))</f>
        <v>N</v>
      </c>
      <c r="E317" s="27" t="n">
        <f aca="false">IF($A317="","",IFERROR(VLOOKUP(D317,Schichten!$A$5:$G$24,6,FALSE()),0))</f>
        <v>8</v>
      </c>
      <c r="F317" s="27" t="n">
        <f aca="false">IF($A317="","",IFERROR(VLOOKUP(D317,Schichten!$A$5:$G$24,7,FALSE()),0))</f>
        <v>7</v>
      </c>
      <c r="G317" s="28" t="n">
        <f aca="false">IF($A317="","",IF(N(E317)=0,"",$A317+VLOOKUP(D317,Schichten!$A$5:$G$24,3,FALSE())))</f>
        <v>46700.9166666667</v>
      </c>
      <c r="H317" s="28" t="n">
        <f aca="false">IF(G317="","",$A317+VLOOKUP(D317,Schichten!$A$5:$G$24,4,FALSE())+IF(VLOOKUP(D317,Schichten!$A$5:$G$24,4,FALSE())&lt;=VLOOKUP(D317,Schichten!$A$5:$G$24,3,FALSE()),1,0))</f>
        <v>46701.25</v>
      </c>
      <c r="I317" s="28" t="n">
        <f aca="false">IF($A317="","",IF(N(E316)&gt;0,H316,I316))</f>
        <v>46700.25</v>
      </c>
      <c r="J317" s="27" t="n">
        <f aca="false">IF(OR(G317="",I317=""),"",(G317-I317)*24)</f>
        <v>16</v>
      </c>
      <c r="K317" s="21" t="n">
        <f aca="false">IF($A317="","",IF(N(E317)&gt;0,N(K316)+1,0))</f>
        <v>6</v>
      </c>
      <c r="L317" s="21" t="n">
        <f aca="false">IF($A317="","",IF(N(F317)&gt;0,N(L316)+1,0))</f>
        <v>2</v>
      </c>
      <c r="M317" s="21" t="str">
        <f aca="false">IF($A317="","",IF(WEEKDAY($A317,2)&lt;&gt;7,"",IF(AND(OR(G317="",N(G317)&gt;=$A317+16/24,N(H317)&lt;=$A317+6/24),OR(I317="",N(I317)&lt;=$A317+6/24)),1,0)))</f>
        <v/>
      </c>
      <c r="N317" s="26" t="str">
        <f aca="false">IF($A317="","",IF(INDEX(Muster!$C$7:$BF$7,1,MOD($A317-Einstellungen!$C$6,Einstellungen!$C$7)+1)="","-",INDEX(Muster!$C$7:$BF$7,1,MOD($A317-Einstellungen!$C$6,Einstellungen!$C$7)+1)))</f>
        <v>S</v>
      </c>
      <c r="O317" s="27" t="n">
        <f aca="false">IF($A317="","",IFERROR(VLOOKUP(N317,Schichten!$A$5:$G$24,6,FALSE()),0))</f>
        <v>8</v>
      </c>
      <c r="P317" s="27" t="n">
        <f aca="false">IF($A317="","",IFERROR(VLOOKUP(N317,Schichten!$A$5:$G$24,7,FALSE()),0))</f>
        <v>0</v>
      </c>
      <c r="Q317" s="28" t="n">
        <f aca="false">IF($A317="","",IF(N(O317)=0,"",$A317+VLOOKUP(N317,Schichten!$A$5:$G$24,3,FALSE())))</f>
        <v>46700.5833333333</v>
      </c>
      <c r="R317" s="28" t="n">
        <f aca="false">IF(Q317="","",$A317+VLOOKUP(N317,Schichten!$A$5:$G$24,4,FALSE())+IF(VLOOKUP(N317,Schichten!$A$5:$G$24,4,FALSE())&lt;=VLOOKUP(N317,Schichten!$A$5:$G$24,3,FALSE()),1,0))</f>
        <v>46700.9166666667</v>
      </c>
      <c r="S317" s="28" t="n">
        <f aca="false">IF($A317="","",IF(N(O316)&gt;0,R316,S316))</f>
        <v>46699.9166666667</v>
      </c>
      <c r="T317" s="27" t="n">
        <f aca="false">IF(OR(Q317="",S317=""),"",(Q317-S317)*24)</f>
        <v>16</v>
      </c>
      <c r="U317" s="21" t="n">
        <f aca="false">IF($A317="","",IF(N(O317)&gt;0,N(U316)+1,0))</f>
        <v>4</v>
      </c>
      <c r="V317" s="21" t="n">
        <f aca="false">IF($A317="","",IF(N(P317)&gt;0,N(V316)+1,0))</f>
        <v>0</v>
      </c>
      <c r="W317" s="21" t="str">
        <f aca="false">IF($A317="","",IF(WEEKDAY($A317,2)&lt;&gt;7,"",IF(AND(OR(Q317="",N(Q317)&gt;=$A317+16/24,N(R317)&lt;=$A317+6/24),OR(S317="",N(S317)&lt;=$A317+6/24)),1,0)))</f>
        <v/>
      </c>
      <c r="X317" s="26" t="str">
        <f aca="false">IF($A317="","",IF(INDEX(Muster!$C$8:$BF$8,1,MOD($A317-Einstellungen!$C$6,Einstellungen!$C$7)+1)="","-",INDEX(Muster!$C$8:$BF$8,1,MOD($A317-Einstellungen!$C$6,Einstellungen!$C$7)+1)))</f>
        <v>F</v>
      </c>
      <c r="Y317" s="27" t="n">
        <f aca="false">IF($A317="","",IFERROR(VLOOKUP(X317,Schichten!$A$5:$G$24,6,FALSE()),0))</f>
        <v>8</v>
      </c>
      <c r="Z317" s="27" t="n">
        <f aca="false">IF($A317="","",IFERROR(VLOOKUP(X317,Schichten!$A$5:$G$24,7,FALSE()),0))</f>
        <v>0</v>
      </c>
      <c r="AA317" s="28" t="n">
        <f aca="false">IF($A317="","",IF(N(Y317)=0,"",$A317+VLOOKUP(X317,Schichten!$A$5:$G$24,3,FALSE())))</f>
        <v>46700.25</v>
      </c>
      <c r="AB317" s="28" t="n">
        <f aca="false">IF(AA317="","",$A317+VLOOKUP(X317,Schichten!$A$5:$G$24,4,FALSE())+IF(VLOOKUP(X317,Schichten!$A$5:$G$24,4,FALSE())&lt;=VLOOKUP(X317,Schichten!$A$5:$G$24,3,FALSE()),1,0))</f>
        <v>46700.5833333333</v>
      </c>
      <c r="AC317" s="28" t="n">
        <f aca="false">IF($A317="","",IF(N(Y316)&gt;0,AB316,AC316))</f>
        <v>46699.5833333333</v>
      </c>
      <c r="AD317" s="27" t="n">
        <f aca="false">IF(OR(AA317="",AC317=""),"",(AA317-AC317)*24)</f>
        <v>16</v>
      </c>
      <c r="AE317" s="21" t="n">
        <f aca="false">IF($A317="","",IF(N(Y317)&gt;0,N(AE316)+1,0))</f>
        <v>2</v>
      </c>
      <c r="AF317" s="21" t="n">
        <f aca="false">IF($A317="","",IF(N(Z317)&gt;0,N(AF316)+1,0))</f>
        <v>0</v>
      </c>
      <c r="AG317" s="21" t="str">
        <f aca="false">IF($A317="","",IF(WEEKDAY($A317,2)&lt;&gt;7,"",IF(AND(OR(AA317="",N(AA317)&gt;=$A317+16/24,N(AB317)&lt;=$A317+6/24),OR(AC317="",N(AC317)&lt;=$A317+6/24)),1,0)))</f>
        <v/>
      </c>
      <c r="AH317" s="26" t="str">
        <f aca="false">IF($A317="","",IF(INDEX(Muster!$C$9:$BF$9,1,MOD($A317-Einstellungen!$C$6,Einstellungen!$C$7)+1)="","-",INDEX(Muster!$C$9:$BF$9,1,MOD($A317-Einstellungen!$C$6,Einstellungen!$C$7)+1)))</f>
        <v>-</v>
      </c>
      <c r="AI317" s="27" t="n">
        <f aca="false">IF($A317="","",IFERROR(VLOOKUP(AH317,Schichten!$A$5:$G$24,6,FALSE()),0))</f>
        <v>0</v>
      </c>
      <c r="AJ317" s="27" t="n">
        <f aca="false">IF($A317="","",IFERROR(VLOOKUP(AH317,Schichten!$A$5:$G$24,7,FALSE()),0))</f>
        <v>0</v>
      </c>
      <c r="AK317" s="28" t="str">
        <f aca="false">IF($A317="","",IF(N(AI317)=0,"",$A317+VLOOKUP(AH317,Schichten!$A$5:$G$24,3,FALSE())))</f>
        <v/>
      </c>
      <c r="AL317" s="28" t="str">
        <f aca="false">IF(AK317="","",$A317+VLOOKUP(AH317,Schichten!$A$5:$G$24,4,FALSE())+IF(VLOOKUP(AH317,Schichten!$A$5:$G$24,4,FALSE())&lt;=VLOOKUP(AH317,Schichten!$A$5:$G$24,3,FALSE()),1,0))</f>
        <v/>
      </c>
      <c r="AM317" s="28" t="n">
        <f aca="false">IF($A317="","",IF(N(AI316)&gt;0,AL316,AM316))</f>
        <v>46699.25</v>
      </c>
      <c r="AN317" s="27" t="str">
        <f aca="false">IF(OR(AK317="",AM317=""),"",(AK317-AM317)*24)</f>
        <v/>
      </c>
      <c r="AO317" s="21" t="n">
        <f aca="false">IF($A317="","",IF(N(AI317)&gt;0,N(AO316)+1,0))</f>
        <v>0</v>
      </c>
      <c r="AP317" s="21" t="n">
        <f aca="false">IF($A317="","",IF(N(AJ317)&gt;0,N(AP316)+1,0))</f>
        <v>0</v>
      </c>
      <c r="AQ317" s="21" t="str">
        <f aca="false">IF($A317="","",IF(WEEKDAY($A317,2)&lt;&gt;7,"",IF(AND(OR(AK317="",N(AK317)&gt;=$A317+16/24,N(AL317)&lt;=$A317+6/24),OR(AM317="",N(AM317)&lt;=$A317+6/24)),1,0)))</f>
        <v/>
      </c>
      <c r="AR317" s="26" t="str">
        <f aca="false">IF($A317="","",IF(INDEX(Muster!$C$10:$BF$10,1,MOD($A317-Einstellungen!$C$6,Einstellungen!$C$7)+1)="","-",INDEX(Muster!$C$10:$BF$10,1,MOD($A317-Einstellungen!$C$6,Einstellungen!$C$7)+1)))</f>
        <v>-</v>
      </c>
      <c r="AS317" s="27" t="n">
        <f aca="false">IF($A317="","",IFERROR(VLOOKUP(AR317,Schichten!$A$5:$G$24,6,FALSE()),0))</f>
        <v>0</v>
      </c>
      <c r="AT317" s="27" t="n">
        <f aca="false">IF($A317="","",IFERROR(VLOOKUP(AR317,Schichten!$A$5:$G$24,7,FALSE()),0))</f>
        <v>0</v>
      </c>
      <c r="AU317" s="28" t="str">
        <f aca="false">IF($A317="","",IF(N(AS317)=0,"",$A317+VLOOKUP(AR317,Schichten!$A$5:$G$24,3,FALSE())))</f>
        <v/>
      </c>
      <c r="AV317" s="28" t="str">
        <f aca="false">IF(AU317="","",$A317+VLOOKUP(AR317,Schichten!$A$5:$G$24,4,FALSE())+IF(VLOOKUP(AR317,Schichten!$A$5:$G$24,4,FALSE())&lt;=VLOOKUP(AR317,Schichten!$A$5:$G$24,3,FALSE()),1,0))</f>
        <v/>
      </c>
      <c r="AW317" s="28" t="str">
        <f aca="false">IF($A317="","",IF(N(AS316)&gt;0,AV316,AW316))</f>
        <v/>
      </c>
      <c r="AX317" s="27" t="str">
        <f aca="false">IF(OR(AU317="",AW317=""),"",(AU317-AW317)*24)</f>
        <v/>
      </c>
      <c r="AY317" s="21" t="n">
        <f aca="false">IF($A317="","",IF(N(AS317)&gt;0,N(AY316)+1,0))</f>
        <v>0</v>
      </c>
      <c r="AZ317" s="21" t="n">
        <f aca="false">IF($A317="","",IF(N(AT317)&gt;0,N(AZ316)+1,0))</f>
        <v>0</v>
      </c>
      <c r="BA317" s="21" t="str">
        <f aca="false">IF($A317="","",IF(WEEKDAY($A317,2)&lt;&gt;7,"",IF(AND(OR(AU317="",N(AU317)&gt;=$A317+16/24,N(AV317)&lt;=$A317+6/24),OR(AW317="",N(AW317)&lt;=$A317+6/24)),1,0)))</f>
        <v/>
      </c>
    </row>
    <row r="318" customFormat="false" ht="15" hidden="false" customHeight="false" outlineLevel="0" collapsed="false">
      <c r="A318" s="25" t="n">
        <f aca="false">IF(YEAR(DATE(Einstellungen!$C$4,1,1)+313)=Einstellungen!$C$4,DATE(Einstellungen!$C$4,1,1)+313,"")</f>
        <v>46701</v>
      </c>
      <c r="B318" s="26" t="str">
        <f aca="false">IF($A318="","",CHOOSE(WEEKDAY($A318,2),"Mo","Di","Mi","Do","Fr","Sa","So"))</f>
        <v>Mi</v>
      </c>
      <c r="C318" s="26" t="n">
        <f aca="false">IF($A318="","",MONTH($A318))</f>
        <v>11</v>
      </c>
      <c r="D318" s="26" t="str">
        <f aca="false">IF($A318="","",IF(INDEX(Muster!$C$6:$BF$6,1,MOD($A318-Einstellungen!$C$6,Einstellungen!$C$7)+1)="","-",INDEX(Muster!$C$6:$BF$6,1,MOD($A318-Einstellungen!$C$6,Einstellungen!$C$7)+1)))</f>
        <v>-</v>
      </c>
      <c r="E318" s="27" t="n">
        <f aca="false">IF($A318="","",IFERROR(VLOOKUP(D318,Schichten!$A$5:$G$24,6,FALSE()),0))</f>
        <v>0</v>
      </c>
      <c r="F318" s="27" t="n">
        <f aca="false">IF($A318="","",IFERROR(VLOOKUP(D318,Schichten!$A$5:$G$24,7,FALSE()),0))</f>
        <v>0</v>
      </c>
      <c r="G318" s="28" t="str">
        <f aca="false">IF($A318="","",IF(N(E318)=0,"",$A318+VLOOKUP(D318,Schichten!$A$5:$G$24,3,FALSE())))</f>
        <v/>
      </c>
      <c r="H318" s="28" t="str">
        <f aca="false">IF(G318="","",$A318+VLOOKUP(D318,Schichten!$A$5:$G$24,4,FALSE())+IF(VLOOKUP(D318,Schichten!$A$5:$G$24,4,FALSE())&lt;=VLOOKUP(D318,Schichten!$A$5:$G$24,3,FALSE()),1,0))</f>
        <v/>
      </c>
      <c r="I318" s="28" t="n">
        <f aca="false">IF($A318="","",IF(N(E317)&gt;0,H317,I317))</f>
        <v>46701.25</v>
      </c>
      <c r="J318" s="27" t="str">
        <f aca="false">IF(OR(G318="",I318=""),"",(G318-I318)*24)</f>
        <v/>
      </c>
      <c r="K318" s="21" t="n">
        <f aca="false">IF($A318="","",IF(N(E318)&gt;0,N(K317)+1,0))</f>
        <v>0</v>
      </c>
      <c r="L318" s="21" t="n">
        <f aca="false">IF($A318="","",IF(N(F318)&gt;0,N(L317)+1,0))</f>
        <v>0</v>
      </c>
      <c r="M318" s="21" t="str">
        <f aca="false">IF($A318="","",IF(WEEKDAY($A318,2)&lt;&gt;7,"",IF(AND(OR(G318="",N(G318)&gt;=$A318+16/24,N(H318)&lt;=$A318+6/24),OR(I318="",N(I318)&lt;=$A318+6/24)),1,0)))</f>
        <v/>
      </c>
      <c r="N318" s="26" t="str">
        <f aca="false">IF($A318="","",IF(INDEX(Muster!$C$7:$BF$7,1,MOD($A318-Einstellungen!$C$6,Einstellungen!$C$7)+1)="","-",INDEX(Muster!$C$7:$BF$7,1,MOD($A318-Einstellungen!$C$6,Einstellungen!$C$7)+1)))</f>
        <v>N</v>
      </c>
      <c r="O318" s="27" t="n">
        <f aca="false">IF($A318="","",IFERROR(VLOOKUP(N318,Schichten!$A$5:$G$24,6,FALSE()),0))</f>
        <v>8</v>
      </c>
      <c r="P318" s="27" t="n">
        <f aca="false">IF($A318="","",IFERROR(VLOOKUP(N318,Schichten!$A$5:$G$24,7,FALSE()),0))</f>
        <v>7</v>
      </c>
      <c r="Q318" s="28" t="n">
        <f aca="false">IF($A318="","",IF(N(O318)=0,"",$A318+VLOOKUP(N318,Schichten!$A$5:$G$24,3,FALSE())))</f>
        <v>46701.9166666667</v>
      </c>
      <c r="R318" s="28" t="n">
        <f aca="false">IF(Q318="","",$A318+VLOOKUP(N318,Schichten!$A$5:$G$24,4,FALSE())+IF(VLOOKUP(N318,Schichten!$A$5:$G$24,4,FALSE())&lt;=VLOOKUP(N318,Schichten!$A$5:$G$24,3,FALSE()),1,0))</f>
        <v>46702.25</v>
      </c>
      <c r="S318" s="28" t="n">
        <f aca="false">IF($A318="","",IF(N(O317)&gt;0,R317,S317))</f>
        <v>46700.9166666667</v>
      </c>
      <c r="T318" s="27" t="n">
        <f aca="false">IF(OR(Q318="",S318=""),"",(Q318-S318)*24)</f>
        <v>24</v>
      </c>
      <c r="U318" s="21" t="n">
        <f aca="false">IF($A318="","",IF(N(O318)&gt;0,N(U317)+1,0))</f>
        <v>5</v>
      </c>
      <c r="V318" s="21" t="n">
        <f aca="false">IF($A318="","",IF(N(P318)&gt;0,N(V317)+1,0))</f>
        <v>1</v>
      </c>
      <c r="W318" s="21" t="str">
        <f aca="false">IF($A318="","",IF(WEEKDAY($A318,2)&lt;&gt;7,"",IF(AND(OR(Q318="",N(Q318)&gt;=$A318+16/24,N(R318)&lt;=$A318+6/24),OR(S318="",N(S318)&lt;=$A318+6/24)),1,0)))</f>
        <v/>
      </c>
      <c r="X318" s="26" t="str">
        <f aca="false">IF($A318="","",IF(INDEX(Muster!$C$8:$BF$8,1,MOD($A318-Einstellungen!$C$6,Einstellungen!$C$7)+1)="","-",INDEX(Muster!$C$8:$BF$8,1,MOD($A318-Einstellungen!$C$6,Einstellungen!$C$7)+1)))</f>
        <v>S</v>
      </c>
      <c r="Y318" s="27" t="n">
        <f aca="false">IF($A318="","",IFERROR(VLOOKUP(X318,Schichten!$A$5:$G$24,6,FALSE()),0))</f>
        <v>8</v>
      </c>
      <c r="Z318" s="27" t="n">
        <f aca="false">IF($A318="","",IFERROR(VLOOKUP(X318,Schichten!$A$5:$G$24,7,FALSE()),0))</f>
        <v>0</v>
      </c>
      <c r="AA318" s="28" t="n">
        <f aca="false">IF($A318="","",IF(N(Y318)=0,"",$A318+VLOOKUP(X318,Schichten!$A$5:$G$24,3,FALSE())))</f>
        <v>46701.5833333333</v>
      </c>
      <c r="AB318" s="28" t="n">
        <f aca="false">IF(AA318="","",$A318+VLOOKUP(X318,Schichten!$A$5:$G$24,4,FALSE())+IF(VLOOKUP(X318,Schichten!$A$5:$G$24,4,FALSE())&lt;=VLOOKUP(X318,Schichten!$A$5:$G$24,3,FALSE()),1,0))</f>
        <v>46701.9166666667</v>
      </c>
      <c r="AC318" s="28" t="n">
        <f aca="false">IF($A318="","",IF(N(Y317)&gt;0,AB317,AC317))</f>
        <v>46700.5833333333</v>
      </c>
      <c r="AD318" s="27" t="n">
        <f aca="false">IF(OR(AA318="",AC318=""),"",(AA318-AC318)*24)</f>
        <v>24</v>
      </c>
      <c r="AE318" s="21" t="n">
        <f aca="false">IF($A318="","",IF(N(Y318)&gt;0,N(AE317)+1,0))</f>
        <v>3</v>
      </c>
      <c r="AF318" s="21" t="n">
        <f aca="false">IF($A318="","",IF(N(Z318)&gt;0,N(AF317)+1,0))</f>
        <v>0</v>
      </c>
      <c r="AG318" s="21" t="str">
        <f aca="false">IF($A318="","",IF(WEEKDAY($A318,2)&lt;&gt;7,"",IF(AND(OR(AA318="",N(AA318)&gt;=$A318+16/24,N(AB318)&lt;=$A318+6/24),OR(AC318="",N(AC318)&lt;=$A318+6/24)),1,0)))</f>
        <v/>
      </c>
      <c r="AH318" s="26" t="str">
        <f aca="false">IF($A318="","",IF(INDEX(Muster!$C$9:$BF$9,1,MOD($A318-Einstellungen!$C$6,Einstellungen!$C$7)+1)="","-",INDEX(Muster!$C$9:$BF$9,1,MOD($A318-Einstellungen!$C$6,Einstellungen!$C$7)+1)))</f>
        <v>F</v>
      </c>
      <c r="AI318" s="27" t="n">
        <f aca="false">IF($A318="","",IFERROR(VLOOKUP(AH318,Schichten!$A$5:$G$24,6,FALSE()),0))</f>
        <v>8</v>
      </c>
      <c r="AJ318" s="27" t="n">
        <f aca="false">IF($A318="","",IFERROR(VLOOKUP(AH318,Schichten!$A$5:$G$24,7,FALSE()),0))</f>
        <v>0</v>
      </c>
      <c r="AK318" s="28" t="n">
        <f aca="false">IF($A318="","",IF(N(AI318)=0,"",$A318+VLOOKUP(AH318,Schichten!$A$5:$G$24,3,FALSE())))</f>
        <v>46701.25</v>
      </c>
      <c r="AL318" s="28" t="n">
        <f aca="false">IF(AK318="","",$A318+VLOOKUP(AH318,Schichten!$A$5:$G$24,4,FALSE())+IF(VLOOKUP(AH318,Schichten!$A$5:$G$24,4,FALSE())&lt;=VLOOKUP(AH318,Schichten!$A$5:$G$24,3,FALSE()),1,0))</f>
        <v>46701.5833333333</v>
      </c>
      <c r="AM318" s="28" t="n">
        <f aca="false">IF($A318="","",IF(N(AI317)&gt;0,AL317,AM317))</f>
        <v>46699.25</v>
      </c>
      <c r="AN318" s="27" t="n">
        <f aca="false">IF(OR(AK318="",AM318=""),"",(AK318-AM318)*24)</f>
        <v>48</v>
      </c>
      <c r="AO318" s="21" t="n">
        <f aca="false">IF($A318="","",IF(N(AI318)&gt;0,N(AO317)+1,0))</f>
        <v>1</v>
      </c>
      <c r="AP318" s="21" t="n">
        <f aca="false">IF($A318="","",IF(N(AJ318)&gt;0,N(AP317)+1,0))</f>
        <v>0</v>
      </c>
      <c r="AQ318" s="21" t="str">
        <f aca="false">IF($A318="","",IF(WEEKDAY($A318,2)&lt;&gt;7,"",IF(AND(OR(AK318="",N(AK318)&gt;=$A318+16/24,N(AL318)&lt;=$A318+6/24),OR(AM318="",N(AM318)&lt;=$A318+6/24)),1,0)))</f>
        <v/>
      </c>
      <c r="AR318" s="26" t="str">
        <f aca="false">IF($A318="","",IF(INDEX(Muster!$C$10:$BF$10,1,MOD($A318-Einstellungen!$C$6,Einstellungen!$C$7)+1)="","-",INDEX(Muster!$C$10:$BF$10,1,MOD($A318-Einstellungen!$C$6,Einstellungen!$C$7)+1)))</f>
        <v>-</v>
      </c>
      <c r="AS318" s="27" t="n">
        <f aca="false">IF($A318="","",IFERROR(VLOOKUP(AR318,Schichten!$A$5:$G$24,6,FALSE()),0))</f>
        <v>0</v>
      </c>
      <c r="AT318" s="27" t="n">
        <f aca="false">IF($A318="","",IFERROR(VLOOKUP(AR318,Schichten!$A$5:$G$24,7,FALSE()),0))</f>
        <v>0</v>
      </c>
      <c r="AU318" s="28" t="str">
        <f aca="false">IF($A318="","",IF(N(AS318)=0,"",$A318+VLOOKUP(AR318,Schichten!$A$5:$G$24,3,FALSE())))</f>
        <v/>
      </c>
      <c r="AV318" s="28" t="str">
        <f aca="false">IF(AU318="","",$A318+VLOOKUP(AR318,Schichten!$A$5:$G$24,4,FALSE())+IF(VLOOKUP(AR318,Schichten!$A$5:$G$24,4,FALSE())&lt;=VLOOKUP(AR318,Schichten!$A$5:$G$24,3,FALSE()),1,0))</f>
        <v/>
      </c>
      <c r="AW318" s="28" t="str">
        <f aca="false">IF($A318="","",IF(N(AS317)&gt;0,AV317,AW317))</f>
        <v/>
      </c>
      <c r="AX318" s="27" t="str">
        <f aca="false">IF(OR(AU318="",AW318=""),"",(AU318-AW318)*24)</f>
        <v/>
      </c>
      <c r="AY318" s="21" t="n">
        <f aca="false">IF($A318="","",IF(N(AS318)&gt;0,N(AY317)+1,0))</f>
        <v>0</v>
      </c>
      <c r="AZ318" s="21" t="n">
        <f aca="false">IF($A318="","",IF(N(AT318)&gt;0,N(AZ317)+1,0))</f>
        <v>0</v>
      </c>
      <c r="BA318" s="21" t="str">
        <f aca="false">IF($A318="","",IF(WEEKDAY($A318,2)&lt;&gt;7,"",IF(AND(OR(AU318="",N(AU318)&gt;=$A318+16/24,N(AV318)&lt;=$A318+6/24),OR(AW318="",N(AW318)&lt;=$A318+6/24)),1,0)))</f>
        <v/>
      </c>
    </row>
    <row r="319" customFormat="false" ht="15" hidden="false" customHeight="false" outlineLevel="0" collapsed="false">
      <c r="A319" s="25" t="n">
        <f aca="false">IF(YEAR(DATE(Einstellungen!$C$4,1,1)+314)=Einstellungen!$C$4,DATE(Einstellungen!$C$4,1,1)+314,"")</f>
        <v>46702</v>
      </c>
      <c r="B319" s="26" t="str">
        <f aca="false">IF($A319="","",CHOOSE(WEEKDAY($A319,2),"Mo","Di","Mi","Do","Fr","Sa","So"))</f>
        <v>Do</v>
      </c>
      <c r="C319" s="26" t="n">
        <f aca="false">IF($A319="","",MONTH($A319))</f>
        <v>11</v>
      </c>
      <c r="D319" s="26" t="str">
        <f aca="false">IF($A319="","",IF(INDEX(Muster!$C$6:$BF$6,1,MOD($A319-Einstellungen!$C$6,Einstellungen!$C$7)+1)="","-",INDEX(Muster!$C$6:$BF$6,1,MOD($A319-Einstellungen!$C$6,Einstellungen!$C$7)+1)))</f>
        <v>-</v>
      </c>
      <c r="E319" s="27" t="n">
        <f aca="false">IF($A319="","",IFERROR(VLOOKUP(D319,Schichten!$A$5:$G$24,6,FALSE()),0))</f>
        <v>0</v>
      </c>
      <c r="F319" s="27" t="n">
        <f aca="false">IF($A319="","",IFERROR(VLOOKUP(D319,Schichten!$A$5:$G$24,7,FALSE()),0))</f>
        <v>0</v>
      </c>
      <c r="G319" s="28" t="str">
        <f aca="false">IF($A319="","",IF(N(E319)=0,"",$A319+VLOOKUP(D319,Schichten!$A$5:$G$24,3,FALSE())))</f>
        <v/>
      </c>
      <c r="H319" s="28" t="str">
        <f aca="false">IF(G319="","",$A319+VLOOKUP(D319,Schichten!$A$5:$G$24,4,FALSE())+IF(VLOOKUP(D319,Schichten!$A$5:$G$24,4,FALSE())&lt;=VLOOKUP(D319,Schichten!$A$5:$G$24,3,FALSE()),1,0))</f>
        <v/>
      </c>
      <c r="I319" s="28" t="n">
        <f aca="false">IF($A319="","",IF(N(E318)&gt;0,H318,I318))</f>
        <v>46701.25</v>
      </c>
      <c r="J319" s="27" t="str">
        <f aca="false">IF(OR(G319="",I319=""),"",(G319-I319)*24)</f>
        <v/>
      </c>
      <c r="K319" s="21" t="n">
        <f aca="false">IF($A319="","",IF(N(E319)&gt;0,N(K318)+1,0))</f>
        <v>0</v>
      </c>
      <c r="L319" s="21" t="n">
        <f aca="false">IF($A319="","",IF(N(F319)&gt;0,N(L318)+1,0))</f>
        <v>0</v>
      </c>
      <c r="M319" s="21" t="str">
        <f aca="false">IF($A319="","",IF(WEEKDAY($A319,2)&lt;&gt;7,"",IF(AND(OR(G319="",N(G319)&gt;=$A319+16/24,N(H319)&lt;=$A319+6/24),OR(I319="",N(I319)&lt;=$A319+6/24)),1,0)))</f>
        <v/>
      </c>
      <c r="N319" s="26" t="str">
        <f aca="false">IF($A319="","",IF(INDEX(Muster!$C$7:$BF$7,1,MOD($A319-Einstellungen!$C$6,Einstellungen!$C$7)+1)="","-",INDEX(Muster!$C$7:$BF$7,1,MOD($A319-Einstellungen!$C$6,Einstellungen!$C$7)+1)))</f>
        <v>N</v>
      </c>
      <c r="O319" s="27" t="n">
        <f aca="false">IF($A319="","",IFERROR(VLOOKUP(N319,Schichten!$A$5:$G$24,6,FALSE()),0))</f>
        <v>8</v>
      </c>
      <c r="P319" s="27" t="n">
        <f aca="false">IF($A319="","",IFERROR(VLOOKUP(N319,Schichten!$A$5:$G$24,7,FALSE()),0))</f>
        <v>7</v>
      </c>
      <c r="Q319" s="28" t="n">
        <f aca="false">IF($A319="","",IF(N(O319)=0,"",$A319+VLOOKUP(N319,Schichten!$A$5:$G$24,3,FALSE())))</f>
        <v>46702.9166666667</v>
      </c>
      <c r="R319" s="28" t="n">
        <f aca="false">IF(Q319="","",$A319+VLOOKUP(N319,Schichten!$A$5:$G$24,4,FALSE())+IF(VLOOKUP(N319,Schichten!$A$5:$G$24,4,FALSE())&lt;=VLOOKUP(N319,Schichten!$A$5:$G$24,3,FALSE()),1,0))</f>
        <v>46703.25</v>
      </c>
      <c r="S319" s="28" t="n">
        <f aca="false">IF($A319="","",IF(N(O318)&gt;0,R318,S318))</f>
        <v>46702.25</v>
      </c>
      <c r="T319" s="27" t="n">
        <f aca="false">IF(OR(Q319="",S319=""),"",(Q319-S319)*24)</f>
        <v>16</v>
      </c>
      <c r="U319" s="21" t="n">
        <f aca="false">IF($A319="","",IF(N(O319)&gt;0,N(U318)+1,0))</f>
        <v>6</v>
      </c>
      <c r="V319" s="21" t="n">
        <f aca="false">IF($A319="","",IF(N(P319)&gt;0,N(V318)+1,0))</f>
        <v>2</v>
      </c>
      <c r="W319" s="21" t="str">
        <f aca="false">IF($A319="","",IF(WEEKDAY($A319,2)&lt;&gt;7,"",IF(AND(OR(Q319="",N(Q319)&gt;=$A319+16/24,N(R319)&lt;=$A319+6/24),OR(S319="",N(S319)&lt;=$A319+6/24)),1,0)))</f>
        <v/>
      </c>
      <c r="X319" s="26" t="str">
        <f aca="false">IF($A319="","",IF(INDEX(Muster!$C$8:$BF$8,1,MOD($A319-Einstellungen!$C$6,Einstellungen!$C$7)+1)="","-",INDEX(Muster!$C$8:$BF$8,1,MOD($A319-Einstellungen!$C$6,Einstellungen!$C$7)+1)))</f>
        <v>S</v>
      </c>
      <c r="Y319" s="27" t="n">
        <f aca="false">IF($A319="","",IFERROR(VLOOKUP(X319,Schichten!$A$5:$G$24,6,FALSE()),0))</f>
        <v>8</v>
      </c>
      <c r="Z319" s="27" t="n">
        <f aca="false">IF($A319="","",IFERROR(VLOOKUP(X319,Schichten!$A$5:$G$24,7,FALSE()),0))</f>
        <v>0</v>
      </c>
      <c r="AA319" s="28" t="n">
        <f aca="false">IF($A319="","",IF(N(Y319)=0,"",$A319+VLOOKUP(X319,Schichten!$A$5:$G$24,3,FALSE())))</f>
        <v>46702.5833333333</v>
      </c>
      <c r="AB319" s="28" t="n">
        <f aca="false">IF(AA319="","",$A319+VLOOKUP(X319,Schichten!$A$5:$G$24,4,FALSE())+IF(VLOOKUP(X319,Schichten!$A$5:$G$24,4,FALSE())&lt;=VLOOKUP(X319,Schichten!$A$5:$G$24,3,FALSE()),1,0))</f>
        <v>46702.9166666667</v>
      </c>
      <c r="AC319" s="28" t="n">
        <f aca="false">IF($A319="","",IF(N(Y318)&gt;0,AB318,AC318))</f>
        <v>46701.9166666667</v>
      </c>
      <c r="AD319" s="27" t="n">
        <f aca="false">IF(OR(AA319="",AC319=""),"",(AA319-AC319)*24)</f>
        <v>16</v>
      </c>
      <c r="AE319" s="21" t="n">
        <f aca="false">IF($A319="","",IF(N(Y319)&gt;0,N(AE318)+1,0))</f>
        <v>4</v>
      </c>
      <c r="AF319" s="21" t="n">
        <f aca="false">IF($A319="","",IF(N(Z319)&gt;0,N(AF318)+1,0))</f>
        <v>0</v>
      </c>
      <c r="AG319" s="21" t="str">
        <f aca="false">IF($A319="","",IF(WEEKDAY($A319,2)&lt;&gt;7,"",IF(AND(OR(AA319="",N(AA319)&gt;=$A319+16/24,N(AB319)&lt;=$A319+6/24),OR(AC319="",N(AC319)&lt;=$A319+6/24)),1,0)))</f>
        <v/>
      </c>
      <c r="AH319" s="26" t="str">
        <f aca="false">IF($A319="","",IF(INDEX(Muster!$C$9:$BF$9,1,MOD($A319-Einstellungen!$C$6,Einstellungen!$C$7)+1)="","-",INDEX(Muster!$C$9:$BF$9,1,MOD($A319-Einstellungen!$C$6,Einstellungen!$C$7)+1)))</f>
        <v>F</v>
      </c>
      <c r="AI319" s="27" t="n">
        <f aca="false">IF($A319="","",IFERROR(VLOOKUP(AH319,Schichten!$A$5:$G$24,6,FALSE()),0))</f>
        <v>8</v>
      </c>
      <c r="AJ319" s="27" t="n">
        <f aca="false">IF($A319="","",IFERROR(VLOOKUP(AH319,Schichten!$A$5:$G$24,7,FALSE()),0))</f>
        <v>0</v>
      </c>
      <c r="AK319" s="28" t="n">
        <f aca="false">IF($A319="","",IF(N(AI319)=0,"",$A319+VLOOKUP(AH319,Schichten!$A$5:$G$24,3,FALSE())))</f>
        <v>46702.25</v>
      </c>
      <c r="AL319" s="28" t="n">
        <f aca="false">IF(AK319="","",$A319+VLOOKUP(AH319,Schichten!$A$5:$G$24,4,FALSE())+IF(VLOOKUP(AH319,Schichten!$A$5:$G$24,4,FALSE())&lt;=VLOOKUP(AH319,Schichten!$A$5:$G$24,3,FALSE()),1,0))</f>
        <v>46702.5833333333</v>
      </c>
      <c r="AM319" s="28" t="n">
        <f aca="false">IF($A319="","",IF(N(AI318)&gt;0,AL318,AM318))</f>
        <v>46701.5833333333</v>
      </c>
      <c r="AN319" s="27" t="n">
        <f aca="false">IF(OR(AK319="",AM319=""),"",(AK319-AM319)*24)</f>
        <v>16</v>
      </c>
      <c r="AO319" s="21" t="n">
        <f aca="false">IF($A319="","",IF(N(AI319)&gt;0,N(AO318)+1,0))</f>
        <v>2</v>
      </c>
      <c r="AP319" s="21" t="n">
        <f aca="false">IF($A319="","",IF(N(AJ319)&gt;0,N(AP318)+1,0))</f>
        <v>0</v>
      </c>
      <c r="AQ319" s="21" t="str">
        <f aca="false">IF($A319="","",IF(WEEKDAY($A319,2)&lt;&gt;7,"",IF(AND(OR(AK319="",N(AK319)&gt;=$A319+16/24,N(AL319)&lt;=$A319+6/24),OR(AM319="",N(AM319)&lt;=$A319+6/24)),1,0)))</f>
        <v/>
      </c>
      <c r="AR319" s="26" t="str">
        <f aca="false">IF($A319="","",IF(INDEX(Muster!$C$10:$BF$10,1,MOD($A319-Einstellungen!$C$6,Einstellungen!$C$7)+1)="","-",INDEX(Muster!$C$10:$BF$10,1,MOD($A319-Einstellungen!$C$6,Einstellungen!$C$7)+1)))</f>
        <v>-</v>
      </c>
      <c r="AS319" s="27" t="n">
        <f aca="false">IF($A319="","",IFERROR(VLOOKUP(AR319,Schichten!$A$5:$G$24,6,FALSE()),0))</f>
        <v>0</v>
      </c>
      <c r="AT319" s="27" t="n">
        <f aca="false">IF($A319="","",IFERROR(VLOOKUP(AR319,Schichten!$A$5:$G$24,7,FALSE()),0))</f>
        <v>0</v>
      </c>
      <c r="AU319" s="28" t="str">
        <f aca="false">IF($A319="","",IF(N(AS319)=0,"",$A319+VLOOKUP(AR319,Schichten!$A$5:$G$24,3,FALSE())))</f>
        <v/>
      </c>
      <c r="AV319" s="28" t="str">
        <f aca="false">IF(AU319="","",$A319+VLOOKUP(AR319,Schichten!$A$5:$G$24,4,FALSE())+IF(VLOOKUP(AR319,Schichten!$A$5:$G$24,4,FALSE())&lt;=VLOOKUP(AR319,Schichten!$A$5:$G$24,3,FALSE()),1,0))</f>
        <v/>
      </c>
      <c r="AW319" s="28" t="str">
        <f aca="false">IF($A319="","",IF(N(AS318)&gt;0,AV318,AW318))</f>
        <v/>
      </c>
      <c r="AX319" s="27" t="str">
        <f aca="false">IF(OR(AU319="",AW319=""),"",(AU319-AW319)*24)</f>
        <v/>
      </c>
      <c r="AY319" s="21" t="n">
        <f aca="false">IF($A319="","",IF(N(AS319)&gt;0,N(AY318)+1,0))</f>
        <v>0</v>
      </c>
      <c r="AZ319" s="21" t="n">
        <f aca="false">IF($A319="","",IF(N(AT319)&gt;0,N(AZ318)+1,0))</f>
        <v>0</v>
      </c>
      <c r="BA319" s="21" t="str">
        <f aca="false">IF($A319="","",IF(WEEKDAY($A319,2)&lt;&gt;7,"",IF(AND(OR(AU319="",N(AU319)&gt;=$A319+16/24,N(AV319)&lt;=$A319+6/24),OR(AW319="",N(AW319)&lt;=$A319+6/24)),1,0)))</f>
        <v/>
      </c>
    </row>
    <row r="320" customFormat="false" ht="15" hidden="false" customHeight="false" outlineLevel="0" collapsed="false">
      <c r="A320" s="25" t="n">
        <f aca="false">IF(YEAR(DATE(Einstellungen!$C$4,1,1)+315)=Einstellungen!$C$4,DATE(Einstellungen!$C$4,1,1)+315,"")</f>
        <v>46703</v>
      </c>
      <c r="B320" s="26" t="str">
        <f aca="false">IF($A320="","",CHOOSE(WEEKDAY($A320,2),"Mo","Di","Mi","Do","Fr","Sa","So"))</f>
        <v>Fr</v>
      </c>
      <c r="C320" s="26" t="n">
        <f aca="false">IF($A320="","",MONTH($A320))</f>
        <v>11</v>
      </c>
      <c r="D320" s="26" t="str">
        <f aca="false">IF($A320="","",IF(INDEX(Muster!$C$6:$BF$6,1,MOD($A320-Einstellungen!$C$6,Einstellungen!$C$7)+1)="","-",INDEX(Muster!$C$6:$BF$6,1,MOD($A320-Einstellungen!$C$6,Einstellungen!$C$7)+1)))</f>
        <v>F</v>
      </c>
      <c r="E320" s="27" t="n">
        <f aca="false">IF($A320="","",IFERROR(VLOOKUP(D320,Schichten!$A$5:$G$24,6,FALSE()),0))</f>
        <v>8</v>
      </c>
      <c r="F320" s="27" t="n">
        <f aca="false">IF($A320="","",IFERROR(VLOOKUP(D320,Schichten!$A$5:$G$24,7,FALSE()),0))</f>
        <v>0</v>
      </c>
      <c r="G320" s="28" t="n">
        <f aca="false">IF($A320="","",IF(N(E320)=0,"",$A320+VLOOKUP(D320,Schichten!$A$5:$G$24,3,FALSE())))</f>
        <v>46703.25</v>
      </c>
      <c r="H320" s="28" t="n">
        <f aca="false">IF(G320="","",$A320+VLOOKUP(D320,Schichten!$A$5:$G$24,4,FALSE())+IF(VLOOKUP(D320,Schichten!$A$5:$G$24,4,FALSE())&lt;=VLOOKUP(D320,Schichten!$A$5:$G$24,3,FALSE()),1,0))</f>
        <v>46703.5833333333</v>
      </c>
      <c r="I320" s="28" t="n">
        <f aca="false">IF($A320="","",IF(N(E319)&gt;0,H319,I319))</f>
        <v>46701.25</v>
      </c>
      <c r="J320" s="27" t="n">
        <f aca="false">IF(OR(G320="",I320=""),"",(G320-I320)*24)</f>
        <v>48</v>
      </c>
      <c r="K320" s="21" t="n">
        <f aca="false">IF($A320="","",IF(N(E320)&gt;0,N(K319)+1,0))</f>
        <v>1</v>
      </c>
      <c r="L320" s="21" t="n">
        <f aca="false">IF($A320="","",IF(N(F320)&gt;0,N(L319)+1,0))</f>
        <v>0</v>
      </c>
      <c r="M320" s="21" t="str">
        <f aca="false">IF($A320="","",IF(WEEKDAY($A320,2)&lt;&gt;7,"",IF(AND(OR(G320="",N(G320)&gt;=$A320+16/24,N(H320)&lt;=$A320+6/24),OR(I320="",N(I320)&lt;=$A320+6/24)),1,0)))</f>
        <v/>
      </c>
      <c r="N320" s="26" t="str">
        <f aca="false">IF($A320="","",IF(INDEX(Muster!$C$7:$BF$7,1,MOD($A320-Einstellungen!$C$6,Einstellungen!$C$7)+1)="","-",INDEX(Muster!$C$7:$BF$7,1,MOD($A320-Einstellungen!$C$6,Einstellungen!$C$7)+1)))</f>
        <v>-</v>
      </c>
      <c r="O320" s="27" t="n">
        <f aca="false">IF($A320="","",IFERROR(VLOOKUP(N320,Schichten!$A$5:$G$24,6,FALSE()),0))</f>
        <v>0</v>
      </c>
      <c r="P320" s="27" t="n">
        <f aca="false">IF($A320="","",IFERROR(VLOOKUP(N320,Schichten!$A$5:$G$24,7,FALSE()),0))</f>
        <v>0</v>
      </c>
      <c r="Q320" s="28" t="str">
        <f aca="false">IF($A320="","",IF(N(O320)=0,"",$A320+VLOOKUP(N320,Schichten!$A$5:$G$24,3,FALSE())))</f>
        <v/>
      </c>
      <c r="R320" s="28" t="str">
        <f aca="false">IF(Q320="","",$A320+VLOOKUP(N320,Schichten!$A$5:$G$24,4,FALSE())+IF(VLOOKUP(N320,Schichten!$A$5:$G$24,4,FALSE())&lt;=VLOOKUP(N320,Schichten!$A$5:$G$24,3,FALSE()),1,0))</f>
        <v/>
      </c>
      <c r="S320" s="28" t="n">
        <f aca="false">IF($A320="","",IF(N(O319)&gt;0,R319,S319))</f>
        <v>46703.25</v>
      </c>
      <c r="T320" s="27" t="str">
        <f aca="false">IF(OR(Q320="",S320=""),"",(Q320-S320)*24)</f>
        <v/>
      </c>
      <c r="U320" s="21" t="n">
        <f aca="false">IF($A320="","",IF(N(O320)&gt;0,N(U319)+1,0))</f>
        <v>0</v>
      </c>
      <c r="V320" s="21" t="n">
        <f aca="false">IF($A320="","",IF(N(P320)&gt;0,N(V319)+1,0))</f>
        <v>0</v>
      </c>
      <c r="W320" s="21" t="str">
        <f aca="false">IF($A320="","",IF(WEEKDAY($A320,2)&lt;&gt;7,"",IF(AND(OR(Q320="",N(Q320)&gt;=$A320+16/24,N(R320)&lt;=$A320+6/24),OR(S320="",N(S320)&lt;=$A320+6/24)),1,0)))</f>
        <v/>
      </c>
      <c r="X320" s="26" t="str">
        <f aca="false">IF($A320="","",IF(INDEX(Muster!$C$8:$BF$8,1,MOD($A320-Einstellungen!$C$6,Einstellungen!$C$7)+1)="","-",INDEX(Muster!$C$8:$BF$8,1,MOD($A320-Einstellungen!$C$6,Einstellungen!$C$7)+1)))</f>
        <v>N</v>
      </c>
      <c r="Y320" s="27" t="n">
        <f aca="false">IF($A320="","",IFERROR(VLOOKUP(X320,Schichten!$A$5:$G$24,6,FALSE()),0))</f>
        <v>8</v>
      </c>
      <c r="Z320" s="27" t="n">
        <f aca="false">IF($A320="","",IFERROR(VLOOKUP(X320,Schichten!$A$5:$G$24,7,FALSE()),0))</f>
        <v>7</v>
      </c>
      <c r="AA320" s="28" t="n">
        <f aca="false">IF($A320="","",IF(N(Y320)=0,"",$A320+VLOOKUP(X320,Schichten!$A$5:$G$24,3,FALSE())))</f>
        <v>46703.9166666667</v>
      </c>
      <c r="AB320" s="28" t="n">
        <f aca="false">IF(AA320="","",$A320+VLOOKUP(X320,Schichten!$A$5:$G$24,4,FALSE())+IF(VLOOKUP(X320,Schichten!$A$5:$G$24,4,FALSE())&lt;=VLOOKUP(X320,Schichten!$A$5:$G$24,3,FALSE()),1,0))</f>
        <v>46704.25</v>
      </c>
      <c r="AC320" s="28" t="n">
        <f aca="false">IF($A320="","",IF(N(Y319)&gt;0,AB319,AC319))</f>
        <v>46702.9166666667</v>
      </c>
      <c r="AD320" s="27" t="n">
        <f aca="false">IF(OR(AA320="",AC320=""),"",(AA320-AC320)*24)</f>
        <v>24</v>
      </c>
      <c r="AE320" s="21" t="n">
        <f aca="false">IF($A320="","",IF(N(Y320)&gt;0,N(AE319)+1,0))</f>
        <v>5</v>
      </c>
      <c r="AF320" s="21" t="n">
        <f aca="false">IF($A320="","",IF(N(Z320)&gt;0,N(AF319)+1,0))</f>
        <v>1</v>
      </c>
      <c r="AG320" s="21" t="str">
        <f aca="false">IF($A320="","",IF(WEEKDAY($A320,2)&lt;&gt;7,"",IF(AND(OR(AA320="",N(AA320)&gt;=$A320+16/24,N(AB320)&lt;=$A320+6/24),OR(AC320="",N(AC320)&lt;=$A320+6/24)),1,0)))</f>
        <v/>
      </c>
      <c r="AH320" s="26" t="str">
        <f aca="false">IF($A320="","",IF(INDEX(Muster!$C$9:$BF$9,1,MOD($A320-Einstellungen!$C$6,Einstellungen!$C$7)+1)="","-",INDEX(Muster!$C$9:$BF$9,1,MOD($A320-Einstellungen!$C$6,Einstellungen!$C$7)+1)))</f>
        <v>S</v>
      </c>
      <c r="AI320" s="27" t="n">
        <f aca="false">IF($A320="","",IFERROR(VLOOKUP(AH320,Schichten!$A$5:$G$24,6,FALSE()),0))</f>
        <v>8</v>
      </c>
      <c r="AJ320" s="27" t="n">
        <f aca="false">IF($A320="","",IFERROR(VLOOKUP(AH320,Schichten!$A$5:$G$24,7,FALSE()),0))</f>
        <v>0</v>
      </c>
      <c r="AK320" s="28" t="n">
        <f aca="false">IF($A320="","",IF(N(AI320)=0,"",$A320+VLOOKUP(AH320,Schichten!$A$5:$G$24,3,FALSE())))</f>
        <v>46703.5833333333</v>
      </c>
      <c r="AL320" s="28" t="n">
        <f aca="false">IF(AK320="","",$A320+VLOOKUP(AH320,Schichten!$A$5:$G$24,4,FALSE())+IF(VLOOKUP(AH320,Schichten!$A$5:$G$24,4,FALSE())&lt;=VLOOKUP(AH320,Schichten!$A$5:$G$24,3,FALSE()),1,0))</f>
        <v>46703.9166666667</v>
      </c>
      <c r="AM320" s="28" t="n">
        <f aca="false">IF($A320="","",IF(N(AI319)&gt;0,AL319,AM319))</f>
        <v>46702.5833333333</v>
      </c>
      <c r="AN320" s="27" t="n">
        <f aca="false">IF(OR(AK320="",AM320=""),"",(AK320-AM320)*24)</f>
        <v>24</v>
      </c>
      <c r="AO320" s="21" t="n">
        <f aca="false">IF($A320="","",IF(N(AI320)&gt;0,N(AO319)+1,0))</f>
        <v>3</v>
      </c>
      <c r="AP320" s="21" t="n">
        <f aca="false">IF($A320="","",IF(N(AJ320)&gt;0,N(AP319)+1,0))</f>
        <v>0</v>
      </c>
      <c r="AQ320" s="21" t="str">
        <f aca="false">IF($A320="","",IF(WEEKDAY($A320,2)&lt;&gt;7,"",IF(AND(OR(AK320="",N(AK320)&gt;=$A320+16/24,N(AL320)&lt;=$A320+6/24),OR(AM320="",N(AM320)&lt;=$A320+6/24)),1,0)))</f>
        <v/>
      </c>
      <c r="AR320" s="26" t="str">
        <f aca="false">IF($A320="","",IF(INDEX(Muster!$C$10:$BF$10,1,MOD($A320-Einstellungen!$C$6,Einstellungen!$C$7)+1)="","-",INDEX(Muster!$C$10:$BF$10,1,MOD($A320-Einstellungen!$C$6,Einstellungen!$C$7)+1)))</f>
        <v>-</v>
      </c>
      <c r="AS320" s="27" t="n">
        <f aca="false">IF($A320="","",IFERROR(VLOOKUP(AR320,Schichten!$A$5:$G$24,6,FALSE()),0))</f>
        <v>0</v>
      </c>
      <c r="AT320" s="27" t="n">
        <f aca="false">IF($A320="","",IFERROR(VLOOKUP(AR320,Schichten!$A$5:$G$24,7,FALSE()),0))</f>
        <v>0</v>
      </c>
      <c r="AU320" s="28" t="str">
        <f aca="false">IF($A320="","",IF(N(AS320)=0,"",$A320+VLOOKUP(AR320,Schichten!$A$5:$G$24,3,FALSE())))</f>
        <v/>
      </c>
      <c r="AV320" s="28" t="str">
        <f aca="false">IF(AU320="","",$A320+VLOOKUP(AR320,Schichten!$A$5:$G$24,4,FALSE())+IF(VLOOKUP(AR320,Schichten!$A$5:$G$24,4,FALSE())&lt;=VLOOKUP(AR320,Schichten!$A$5:$G$24,3,FALSE()),1,0))</f>
        <v/>
      </c>
      <c r="AW320" s="28" t="str">
        <f aca="false">IF($A320="","",IF(N(AS319)&gt;0,AV319,AW319))</f>
        <v/>
      </c>
      <c r="AX320" s="27" t="str">
        <f aca="false">IF(OR(AU320="",AW320=""),"",(AU320-AW320)*24)</f>
        <v/>
      </c>
      <c r="AY320" s="21" t="n">
        <f aca="false">IF($A320="","",IF(N(AS320)&gt;0,N(AY319)+1,0))</f>
        <v>0</v>
      </c>
      <c r="AZ320" s="21" t="n">
        <f aca="false">IF($A320="","",IF(N(AT320)&gt;0,N(AZ319)+1,0))</f>
        <v>0</v>
      </c>
      <c r="BA320" s="21" t="str">
        <f aca="false">IF($A320="","",IF(WEEKDAY($A320,2)&lt;&gt;7,"",IF(AND(OR(AU320="",N(AU320)&gt;=$A320+16/24,N(AV320)&lt;=$A320+6/24),OR(AW320="",N(AW320)&lt;=$A320+6/24)),1,0)))</f>
        <v/>
      </c>
    </row>
    <row r="321" customFormat="false" ht="15" hidden="false" customHeight="false" outlineLevel="0" collapsed="false">
      <c r="A321" s="25" t="n">
        <f aca="false">IF(YEAR(DATE(Einstellungen!$C$4,1,1)+316)=Einstellungen!$C$4,DATE(Einstellungen!$C$4,1,1)+316,"")</f>
        <v>46704</v>
      </c>
      <c r="B321" s="26" t="str">
        <f aca="false">IF($A321="","",CHOOSE(WEEKDAY($A321,2),"Mo","Di","Mi","Do","Fr","Sa","So"))</f>
        <v>Sa</v>
      </c>
      <c r="C321" s="26" t="n">
        <f aca="false">IF($A321="","",MONTH($A321))</f>
        <v>11</v>
      </c>
      <c r="D321" s="26" t="str">
        <f aca="false">IF($A321="","",IF(INDEX(Muster!$C$6:$BF$6,1,MOD($A321-Einstellungen!$C$6,Einstellungen!$C$7)+1)="","-",INDEX(Muster!$C$6:$BF$6,1,MOD($A321-Einstellungen!$C$6,Einstellungen!$C$7)+1)))</f>
        <v>F</v>
      </c>
      <c r="E321" s="27" t="n">
        <f aca="false">IF($A321="","",IFERROR(VLOOKUP(D321,Schichten!$A$5:$G$24,6,FALSE()),0))</f>
        <v>8</v>
      </c>
      <c r="F321" s="27" t="n">
        <f aca="false">IF($A321="","",IFERROR(VLOOKUP(D321,Schichten!$A$5:$G$24,7,FALSE()),0))</f>
        <v>0</v>
      </c>
      <c r="G321" s="28" t="n">
        <f aca="false">IF($A321="","",IF(N(E321)=0,"",$A321+VLOOKUP(D321,Schichten!$A$5:$G$24,3,FALSE())))</f>
        <v>46704.25</v>
      </c>
      <c r="H321" s="28" t="n">
        <f aca="false">IF(G321="","",$A321+VLOOKUP(D321,Schichten!$A$5:$G$24,4,FALSE())+IF(VLOOKUP(D321,Schichten!$A$5:$G$24,4,FALSE())&lt;=VLOOKUP(D321,Schichten!$A$5:$G$24,3,FALSE()),1,0))</f>
        <v>46704.5833333333</v>
      </c>
      <c r="I321" s="28" t="n">
        <f aca="false">IF($A321="","",IF(N(E320)&gt;0,H320,I320))</f>
        <v>46703.5833333333</v>
      </c>
      <c r="J321" s="27" t="n">
        <f aca="false">IF(OR(G321="",I321=""),"",(G321-I321)*24)</f>
        <v>16</v>
      </c>
      <c r="K321" s="21" t="n">
        <f aca="false">IF($A321="","",IF(N(E321)&gt;0,N(K320)+1,0))</f>
        <v>2</v>
      </c>
      <c r="L321" s="21" t="n">
        <f aca="false">IF($A321="","",IF(N(F321)&gt;0,N(L320)+1,0))</f>
        <v>0</v>
      </c>
      <c r="M321" s="21" t="str">
        <f aca="false">IF($A321="","",IF(WEEKDAY($A321,2)&lt;&gt;7,"",IF(AND(OR(G321="",N(G321)&gt;=$A321+16/24,N(H321)&lt;=$A321+6/24),OR(I321="",N(I321)&lt;=$A321+6/24)),1,0)))</f>
        <v/>
      </c>
      <c r="N321" s="26" t="str">
        <f aca="false">IF($A321="","",IF(INDEX(Muster!$C$7:$BF$7,1,MOD($A321-Einstellungen!$C$6,Einstellungen!$C$7)+1)="","-",INDEX(Muster!$C$7:$BF$7,1,MOD($A321-Einstellungen!$C$6,Einstellungen!$C$7)+1)))</f>
        <v>-</v>
      </c>
      <c r="O321" s="27" t="n">
        <f aca="false">IF($A321="","",IFERROR(VLOOKUP(N321,Schichten!$A$5:$G$24,6,FALSE()),0))</f>
        <v>0</v>
      </c>
      <c r="P321" s="27" t="n">
        <f aca="false">IF($A321="","",IFERROR(VLOOKUP(N321,Schichten!$A$5:$G$24,7,FALSE()),0))</f>
        <v>0</v>
      </c>
      <c r="Q321" s="28" t="str">
        <f aca="false">IF($A321="","",IF(N(O321)=0,"",$A321+VLOOKUP(N321,Schichten!$A$5:$G$24,3,FALSE())))</f>
        <v/>
      </c>
      <c r="R321" s="28" t="str">
        <f aca="false">IF(Q321="","",$A321+VLOOKUP(N321,Schichten!$A$5:$G$24,4,FALSE())+IF(VLOOKUP(N321,Schichten!$A$5:$G$24,4,FALSE())&lt;=VLOOKUP(N321,Schichten!$A$5:$G$24,3,FALSE()),1,0))</f>
        <v/>
      </c>
      <c r="S321" s="28" t="n">
        <f aca="false">IF($A321="","",IF(N(O320)&gt;0,R320,S320))</f>
        <v>46703.25</v>
      </c>
      <c r="T321" s="27" t="str">
        <f aca="false">IF(OR(Q321="",S321=""),"",(Q321-S321)*24)</f>
        <v/>
      </c>
      <c r="U321" s="21" t="n">
        <f aca="false">IF($A321="","",IF(N(O321)&gt;0,N(U320)+1,0))</f>
        <v>0</v>
      </c>
      <c r="V321" s="21" t="n">
        <f aca="false">IF($A321="","",IF(N(P321)&gt;0,N(V320)+1,0))</f>
        <v>0</v>
      </c>
      <c r="W321" s="21" t="str">
        <f aca="false">IF($A321="","",IF(WEEKDAY($A321,2)&lt;&gt;7,"",IF(AND(OR(Q321="",N(Q321)&gt;=$A321+16/24,N(R321)&lt;=$A321+6/24),OR(S321="",N(S321)&lt;=$A321+6/24)),1,0)))</f>
        <v/>
      </c>
      <c r="X321" s="26" t="str">
        <f aca="false">IF($A321="","",IF(INDEX(Muster!$C$8:$BF$8,1,MOD($A321-Einstellungen!$C$6,Einstellungen!$C$7)+1)="","-",INDEX(Muster!$C$8:$BF$8,1,MOD($A321-Einstellungen!$C$6,Einstellungen!$C$7)+1)))</f>
        <v>N</v>
      </c>
      <c r="Y321" s="27" t="n">
        <f aca="false">IF($A321="","",IFERROR(VLOOKUP(X321,Schichten!$A$5:$G$24,6,FALSE()),0))</f>
        <v>8</v>
      </c>
      <c r="Z321" s="27" t="n">
        <f aca="false">IF($A321="","",IFERROR(VLOOKUP(X321,Schichten!$A$5:$G$24,7,FALSE()),0))</f>
        <v>7</v>
      </c>
      <c r="AA321" s="28" t="n">
        <f aca="false">IF($A321="","",IF(N(Y321)=0,"",$A321+VLOOKUP(X321,Schichten!$A$5:$G$24,3,FALSE())))</f>
        <v>46704.9166666667</v>
      </c>
      <c r="AB321" s="28" t="n">
        <f aca="false">IF(AA321="","",$A321+VLOOKUP(X321,Schichten!$A$5:$G$24,4,FALSE())+IF(VLOOKUP(X321,Schichten!$A$5:$G$24,4,FALSE())&lt;=VLOOKUP(X321,Schichten!$A$5:$G$24,3,FALSE()),1,0))</f>
        <v>46705.25</v>
      </c>
      <c r="AC321" s="28" t="n">
        <f aca="false">IF($A321="","",IF(N(Y320)&gt;0,AB320,AC320))</f>
        <v>46704.25</v>
      </c>
      <c r="AD321" s="27" t="n">
        <f aca="false">IF(OR(AA321="",AC321=""),"",(AA321-AC321)*24)</f>
        <v>16</v>
      </c>
      <c r="AE321" s="21" t="n">
        <f aca="false">IF($A321="","",IF(N(Y321)&gt;0,N(AE320)+1,0))</f>
        <v>6</v>
      </c>
      <c r="AF321" s="21" t="n">
        <f aca="false">IF($A321="","",IF(N(Z321)&gt;0,N(AF320)+1,0))</f>
        <v>2</v>
      </c>
      <c r="AG321" s="21" t="str">
        <f aca="false">IF($A321="","",IF(WEEKDAY($A321,2)&lt;&gt;7,"",IF(AND(OR(AA321="",N(AA321)&gt;=$A321+16/24,N(AB321)&lt;=$A321+6/24),OR(AC321="",N(AC321)&lt;=$A321+6/24)),1,0)))</f>
        <v/>
      </c>
      <c r="AH321" s="26" t="str">
        <f aca="false">IF($A321="","",IF(INDEX(Muster!$C$9:$BF$9,1,MOD($A321-Einstellungen!$C$6,Einstellungen!$C$7)+1)="","-",INDEX(Muster!$C$9:$BF$9,1,MOD($A321-Einstellungen!$C$6,Einstellungen!$C$7)+1)))</f>
        <v>S</v>
      </c>
      <c r="AI321" s="27" t="n">
        <f aca="false">IF($A321="","",IFERROR(VLOOKUP(AH321,Schichten!$A$5:$G$24,6,FALSE()),0))</f>
        <v>8</v>
      </c>
      <c r="AJ321" s="27" t="n">
        <f aca="false">IF($A321="","",IFERROR(VLOOKUP(AH321,Schichten!$A$5:$G$24,7,FALSE()),0))</f>
        <v>0</v>
      </c>
      <c r="AK321" s="28" t="n">
        <f aca="false">IF($A321="","",IF(N(AI321)=0,"",$A321+VLOOKUP(AH321,Schichten!$A$5:$G$24,3,FALSE())))</f>
        <v>46704.5833333333</v>
      </c>
      <c r="AL321" s="28" t="n">
        <f aca="false">IF(AK321="","",$A321+VLOOKUP(AH321,Schichten!$A$5:$G$24,4,FALSE())+IF(VLOOKUP(AH321,Schichten!$A$5:$G$24,4,FALSE())&lt;=VLOOKUP(AH321,Schichten!$A$5:$G$24,3,FALSE()),1,0))</f>
        <v>46704.9166666667</v>
      </c>
      <c r="AM321" s="28" t="n">
        <f aca="false">IF($A321="","",IF(N(AI320)&gt;0,AL320,AM320))</f>
        <v>46703.9166666667</v>
      </c>
      <c r="AN321" s="27" t="n">
        <f aca="false">IF(OR(AK321="",AM321=""),"",(AK321-AM321)*24)</f>
        <v>16</v>
      </c>
      <c r="AO321" s="21" t="n">
        <f aca="false">IF($A321="","",IF(N(AI321)&gt;0,N(AO320)+1,0))</f>
        <v>4</v>
      </c>
      <c r="AP321" s="21" t="n">
        <f aca="false">IF($A321="","",IF(N(AJ321)&gt;0,N(AP320)+1,0))</f>
        <v>0</v>
      </c>
      <c r="AQ321" s="21" t="str">
        <f aca="false">IF($A321="","",IF(WEEKDAY($A321,2)&lt;&gt;7,"",IF(AND(OR(AK321="",N(AK321)&gt;=$A321+16/24,N(AL321)&lt;=$A321+6/24),OR(AM321="",N(AM321)&lt;=$A321+6/24)),1,0)))</f>
        <v/>
      </c>
      <c r="AR321" s="26" t="str">
        <f aca="false">IF($A321="","",IF(INDEX(Muster!$C$10:$BF$10,1,MOD($A321-Einstellungen!$C$6,Einstellungen!$C$7)+1)="","-",INDEX(Muster!$C$10:$BF$10,1,MOD($A321-Einstellungen!$C$6,Einstellungen!$C$7)+1)))</f>
        <v>-</v>
      </c>
      <c r="AS321" s="27" t="n">
        <f aca="false">IF($A321="","",IFERROR(VLOOKUP(AR321,Schichten!$A$5:$G$24,6,FALSE()),0))</f>
        <v>0</v>
      </c>
      <c r="AT321" s="27" t="n">
        <f aca="false">IF($A321="","",IFERROR(VLOOKUP(AR321,Schichten!$A$5:$G$24,7,FALSE()),0))</f>
        <v>0</v>
      </c>
      <c r="AU321" s="28" t="str">
        <f aca="false">IF($A321="","",IF(N(AS321)=0,"",$A321+VLOOKUP(AR321,Schichten!$A$5:$G$24,3,FALSE())))</f>
        <v/>
      </c>
      <c r="AV321" s="28" t="str">
        <f aca="false">IF(AU321="","",$A321+VLOOKUP(AR321,Schichten!$A$5:$G$24,4,FALSE())+IF(VLOOKUP(AR321,Schichten!$A$5:$G$24,4,FALSE())&lt;=VLOOKUP(AR321,Schichten!$A$5:$G$24,3,FALSE()),1,0))</f>
        <v/>
      </c>
      <c r="AW321" s="28" t="str">
        <f aca="false">IF($A321="","",IF(N(AS320)&gt;0,AV320,AW320))</f>
        <v/>
      </c>
      <c r="AX321" s="27" t="str">
        <f aca="false">IF(OR(AU321="",AW321=""),"",(AU321-AW321)*24)</f>
        <v/>
      </c>
      <c r="AY321" s="21" t="n">
        <f aca="false">IF($A321="","",IF(N(AS321)&gt;0,N(AY320)+1,0))</f>
        <v>0</v>
      </c>
      <c r="AZ321" s="21" t="n">
        <f aca="false">IF($A321="","",IF(N(AT321)&gt;0,N(AZ320)+1,0))</f>
        <v>0</v>
      </c>
      <c r="BA321" s="21" t="str">
        <f aca="false">IF($A321="","",IF(WEEKDAY($A321,2)&lt;&gt;7,"",IF(AND(OR(AU321="",N(AU321)&gt;=$A321+16/24,N(AV321)&lt;=$A321+6/24),OR(AW321="",N(AW321)&lt;=$A321+6/24)),1,0)))</f>
        <v/>
      </c>
    </row>
    <row r="322" customFormat="false" ht="15" hidden="false" customHeight="false" outlineLevel="0" collapsed="false">
      <c r="A322" s="25" t="n">
        <f aca="false">IF(YEAR(DATE(Einstellungen!$C$4,1,1)+317)=Einstellungen!$C$4,DATE(Einstellungen!$C$4,1,1)+317,"")</f>
        <v>46705</v>
      </c>
      <c r="B322" s="26" t="str">
        <f aca="false">IF($A322="","",CHOOSE(WEEKDAY($A322,2),"Mo","Di","Mi","Do","Fr","Sa","So"))</f>
        <v>So</v>
      </c>
      <c r="C322" s="26" t="n">
        <f aca="false">IF($A322="","",MONTH($A322))</f>
        <v>11</v>
      </c>
      <c r="D322" s="26" t="str">
        <f aca="false">IF($A322="","",IF(INDEX(Muster!$C$6:$BF$6,1,MOD($A322-Einstellungen!$C$6,Einstellungen!$C$7)+1)="","-",INDEX(Muster!$C$6:$BF$6,1,MOD($A322-Einstellungen!$C$6,Einstellungen!$C$7)+1)))</f>
        <v>S</v>
      </c>
      <c r="E322" s="27" t="n">
        <f aca="false">IF($A322="","",IFERROR(VLOOKUP(D322,Schichten!$A$5:$G$24,6,FALSE()),0))</f>
        <v>8</v>
      </c>
      <c r="F322" s="27" t="n">
        <f aca="false">IF($A322="","",IFERROR(VLOOKUP(D322,Schichten!$A$5:$G$24,7,FALSE()),0))</f>
        <v>0</v>
      </c>
      <c r="G322" s="28" t="n">
        <f aca="false">IF($A322="","",IF(N(E322)=0,"",$A322+VLOOKUP(D322,Schichten!$A$5:$G$24,3,FALSE())))</f>
        <v>46705.5833333333</v>
      </c>
      <c r="H322" s="28" t="n">
        <f aca="false">IF(G322="","",$A322+VLOOKUP(D322,Schichten!$A$5:$G$24,4,FALSE())+IF(VLOOKUP(D322,Schichten!$A$5:$G$24,4,FALSE())&lt;=VLOOKUP(D322,Schichten!$A$5:$G$24,3,FALSE()),1,0))</f>
        <v>46705.9166666667</v>
      </c>
      <c r="I322" s="28" t="n">
        <f aca="false">IF($A322="","",IF(N(E321)&gt;0,H321,I321))</f>
        <v>46704.5833333333</v>
      </c>
      <c r="J322" s="27" t="n">
        <f aca="false">IF(OR(G322="",I322=""),"",(G322-I322)*24)</f>
        <v>24</v>
      </c>
      <c r="K322" s="21" t="n">
        <f aca="false">IF($A322="","",IF(N(E322)&gt;0,N(K321)+1,0))</f>
        <v>3</v>
      </c>
      <c r="L322" s="21" t="n">
        <f aca="false">IF($A322="","",IF(N(F322)&gt;0,N(L321)+1,0))</f>
        <v>0</v>
      </c>
      <c r="M322" s="21" t="n">
        <f aca="false">IF($A322="","",IF(WEEKDAY($A322,2)&lt;&gt;7,"",IF(AND(OR(G322="",N(G322)&gt;=$A322+16/24,N(H322)&lt;=$A322+6/24),OR(I322="",N(I322)&lt;=$A322+6/24)),1,0)))</f>
        <v>0</v>
      </c>
      <c r="N322" s="26" t="str">
        <f aca="false">IF($A322="","",IF(INDEX(Muster!$C$7:$BF$7,1,MOD($A322-Einstellungen!$C$6,Einstellungen!$C$7)+1)="","-",INDEX(Muster!$C$7:$BF$7,1,MOD($A322-Einstellungen!$C$6,Einstellungen!$C$7)+1)))</f>
        <v>F</v>
      </c>
      <c r="O322" s="27" t="n">
        <f aca="false">IF($A322="","",IFERROR(VLOOKUP(N322,Schichten!$A$5:$G$24,6,FALSE()),0))</f>
        <v>8</v>
      </c>
      <c r="P322" s="27" t="n">
        <f aca="false">IF($A322="","",IFERROR(VLOOKUP(N322,Schichten!$A$5:$G$24,7,FALSE()),0))</f>
        <v>0</v>
      </c>
      <c r="Q322" s="28" t="n">
        <f aca="false">IF($A322="","",IF(N(O322)=0,"",$A322+VLOOKUP(N322,Schichten!$A$5:$G$24,3,FALSE())))</f>
        <v>46705.25</v>
      </c>
      <c r="R322" s="28" t="n">
        <f aca="false">IF(Q322="","",$A322+VLOOKUP(N322,Schichten!$A$5:$G$24,4,FALSE())+IF(VLOOKUP(N322,Schichten!$A$5:$G$24,4,FALSE())&lt;=VLOOKUP(N322,Schichten!$A$5:$G$24,3,FALSE()),1,0))</f>
        <v>46705.5833333333</v>
      </c>
      <c r="S322" s="28" t="n">
        <f aca="false">IF($A322="","",IF(N(O321)&gt;0,R321,S321))</f>
        <v>46703.25</v>
      </c>
      <c r="T322" s="27" t="n">
        <f aca="false">IF(OR(Q322="",S322=""),"",(Q322-S322)*24)</f>
        <v>48</v>
      </c>
      <c r="U322" s="21" t="n">
        <f aca="false">IF($A322="","",IF(N(O322)&gt;0,N(U321)+1,0))</f>
        <v>1</v>
      </c>
      <c r="V322" s="21" t="n">
        <f aca="false">IF($A322="","",IF(N(P322)&gt;0,N(V321)+1,0))</f>
        <v>0</v>
      </c>
      <c r="W322" s="21" t="n">
        <f aca="false">IF($A322="","",IF(WEEKDAY($A322,2)&lt;&gt;7,"",IF(AND(OR(Q322="",N(Q322)&gt;=$A322+16/24,N(R322)&lt;=$A322+6/24),OR(S322="",N(S322)&lt;=$A322+6/24)),1,0)))</f>
        <v>0</v>
      </c>
      <c r="X322" s="26" t="str">
        <f aca="false">IF($A322="","",IF(INDEX(Muster!$C$8:$BF$8,1,MOD($A322-Einstellungen!$C$6,Einstellungen!$C$7)+1)="","-",INDEX(Muster!$C$8:$BF$8,1,MOD($A322-Einstellungen!$C$6,Einstellungen!$C$7)+1)))</f>
        <v>-</v>
      </c>
      <c r="Y322" s="27" t="n">
        <f aca="false">IF($A322="","",IFERROR(VLOOKUP(X322,Schichten!$A$5:$G$24,6,FALSE()),0))</f>
        <v>0</v>
      </c>
      <c r="Z322" s="27" t="n">
        <f aca="false">IF($A322="","",IFERROR(VLOOKUP(X322,Schichten!$A$5:$G$24,7,FALSE()),0))</f>
        <v>0</v>
      </c>
      <c r="AA322" s="28" t="str">
        <f aca="false">IF($A322="","",IF(N(Y322)=0,"",$A322+VLOOKUP(X322,Schichten!$A$5:$G$24,3,FALSE())))</f>
        <v/>
      </c>
      <c r="AB322" s="28" t="str">
        <f aca="false">IF(AA322="","",$A322+VLOOKUP(X322,Schichten!$A$5:$G$24,4,FALSE())+IF(VLOOKUP(X322,Schichten!$A$5:$G$24,4,FALSE())&lt;=VLOOKUP(X322,Schichten!$A$5:$G$24,3,FALSE()),1,0))</f>
        <v/>
      </c>
      <c r="AC322" s="28" t="n">
        <f aca="false">IF($A322="","",IF(N(Y321)&gt;0,AB321,AC321))</f>
        <v>46705.25</v>
      </c>
      <c r="AD322" s="27" t="str">
        <f aca="false">IF(OR(AA322="",AC322=""),"",(AA322-AC322)*24)</f>
        <v/>
      </c>
      <c r="AE322" s="21" t="n">
        <f aca="false">IF($A322="","",IF(N(Y322)&gt;0,N(AE321)+1,0))</f>
        <v>0</v>
      </c>
      <c r="AF322" s="21" t="n">
        <f aca="false">IF($A322="","",IF(N(Z322)&gt;0,N(AF321)+1,0))</f>
        <v>0</v>
      </c>
      <c r="AG322" s="21" t="n">
        <f aca="false">IF($A322="","",IF(WEEKDAY($A322,2)&lt;&gt;7,"",IF(AND(OR(AA322="",N(AA322)&gt;=$A322+16/24,N(AB322)&lt;=$A322+6/24),OR(AC322="",N(AC322)&lt;=$A322+6/24)),1,0)))</f>
        <v>1</v>
      </c>
      <c r="AH322" s="26" t="str">
        <f aca="false">IF($A322="","",IF(INDEX(Muster!$C$9:$BF$9,1,MOD($A322-Einstellungen!$C$6,Einstellungen!$C$7)+1)="","-",INDEX(Muster!$C$9:$BF$9,1,MOD($A322-Einstellungen!$C$6,Einstellungen!$C$7)+1)))</f>
        <v>N</v>
      </c>
      <c r="AI322" s="27" t="n">
        <f aca="false">IF($A322="","",IFERROR(VLOOKUP(AH322,Schichten!$A$5:$G$24,6,FALSE()),0))</f>
        <v>8</v>
      </c>
      <c r="AJ322" s="27" t="n">
        <f aca="false">IF($A322="","",IFERROR(VLOOKUP(AH322,Schichten!$A$5:$G$24,7,FALSE()),0))</f>
        <v>7</v>
      </c>
      <c r="AK322" s="28" t="n">
        <f aca="false">IF($A322="","",IF(N(AI322)=0,"",$A322+VLOOKUP(AH322,Schichten!$A$5:$G$24,3,FALSE())))</f>
        <v>46705.9166666667</v>
      </c>
      <c r="AL322" s="28" t="n">
        <f aca="false">IF(AK322="","",$A322+VLOOKUP(AH322,Schichten!$A$5:$G$24,4,FALSE())+IF(VLOOKUP(AH322,Schichten!$A$5:$G$24,4,FALSE())&lt;=VLOOKUP(AH322,Schichten!$A$5:$G$24,3,FALSE()),1,0))</f>
        <v>46706.25</v>
      </c>
      <c r="AM322" s="28" t="n">
        <f aca="false">IF($A322="","",IF(N(AI321)&gt;0,AL321,AM321))</f>
        <v>46704.9166666667</v>
      </c>
      <c r="AN322" s="27" t="n">
        <f aca="false">IF(OR(AK322="",AM322=""),"",(AK322-AM322)*24)</f>
        <v>24</v>
      </c>
      <c r="AO322" s="21" t="n">
        <f aca="false">IF($A322="","",IF(N(AI322)&gt;0,N(AO321)+1,0))</f>
        <v>5</v>
      </c>
      <c r="AP322" s="21" t="n">
        <f aca="false">IF($A322="","",IF(N(AJ322)&gt;0,N(AP321)+1,0))</f>
        <v>1</v>
      </c>
      <c r="AQ322" s="21" t="n">
        <f aca="false">IF($A322="","",IF(WEEKDAY($A322,2)&lt;&gt;7,"",IF(AND(OR(AK322="",N(AK322)&gt;=$A322+16/24,N(AL322)&lt;=$A322+6/24),OR(AM322="",N(AM322)&lt;=$A322+6/24)),1,0)))</f>
        <v>1</v>
      </c>
      <c r="AR322" s="26" t="str">
        <f aca="false">IF($A322="","",IF(INDEX(Muster!$C$10:$BF$10,1,MOD($A322-Einstellungen!$C$6,Einstellungen!$C$7)+1)="","-",INDEX(Muster!$C$10:$BF$10,1,MOD($A322-Einstellungen!$C$6,Einstellungen!$C$7)+1)))</f>
        <v>-</v>
      </c>
      <c r="AS322" s="27" t="n">
        <f aca="false">IF($A322="","",IFERROR(VLOOKUP(AR322,Schichten!$A$5:$G$24,6,FALSE()),0))</f>
        <v>0</v>
      </c>
      <c r="AT322" s="27" t="n">
        <f aca="false">IF($A322="","",IFERROR(VLOOKUP(AR322,Schichten!$A$5:$G$24,7,FALSE()),0))</f>
        <v>0</v>
      </c>
      <c r="AU322" s="28" t="str">
        <f aca="false">IF($A322="","",IF(N(AS322)=0,"",$A322+VLOOKUP(AR322,Schichten!$A$5:$G$24,3,FALSE())))</f>
        <v/>
      </c>
      <c r="AV322" s="28" t="str">
        <f aca="false">IF(AU322="","",$A322+VLOOKUP(AR322,Schichten!$A$5:$G$24,4,FALSE())+IF(VLOOKUP(AR322,Schichten!$A$5:$G$24,4,FALSE())&lt;=VLOOKUP(AR322,Schichten!$A$5:$G$24,3,FALSE()),1,0))</f>
        <v/>
      </c>
      <c r="AW322" s="28" t="str">
        <f aca="false">IF($A322="","",IF(N(AS321)&gt;0,AV321,AW321))</f>
        <v/>
      </c>
      <c r="AX322" s="27" t="str">
        <f aca="false">IF(OR(AU322="",AW322=""),"",(AU322-AW322)*24)</f>
        <v/>
      </c>
      <c r="AY322" s="21" t="n">
        <f aca="false">IF($A322="","",IF(N(AS322)&gt;0,N(AY321)+1,0))</f>
        <v>0</v>
      </c>
      <c r="AZ322" s="21" t="n">
        <f aca="false">IF($A322="","",IF(N(AT322)&gt;0,N(AZ321)+1,0))</f>
        <v>0</v>
      </c>
      <c r="BA322" s="21" t="n">
        <f aca="false">IF($A322="","",IF(WEEKDAY($A322,2)&lt;&gt;7,"",IF(AND(OR(AU322="",N(AU322)&gt;=$A322+16/24,N(AV322)&lt;=$A322+6/24),OR(AW322="",N(AW322)&lt;=$A322+6/24)),1,0)))</f>
        <v>1</v>
      </c>
    </row>
    <row r="323" customFormat="false" ht="15" hidden="false" customHeight="false" outlineLevel="0" collapsed="false">
      <c r="A323" s="25" t="n">
        <f aca="false">IF(YEAR(DATE(Einstellungen!$C$4,1,1)+318)=Einstellungen!$C$4,DATE(Einstellungen!$C$4,1,1)+318,"")</f>
        <v>46706</v>
      </c>
      <c r="B323" s="26" t="str">
        <f aca="false">IF($A323="","",CHOOSE(WEEKDAY($A323,2),"Mo","Di","Mi","Do","Fr","Sa","So"))</f>
        <v>Mo</v>
      </c>
      <c r="C323" s="26" t="n">
        <f aca="false">IF($A323="","",MONTH($A323))</f>
        <v>11</v>
      </c>
      <c r="D323" s="26" t="str">
        <f aca="false">IF($A323="","",IF(INDEX(Muster!$C$6:$BF$6,1,MOD($A323-Einstellungen!$C$6,Einstellungen!$C$7)+1)="","-",INDEX(Muster!$C$6:$BF$6,1,MOD($A323-Einstellungen!$C$6,Einstellungen!$C$7)+1)))</f>
        <v>S</v>
      </c>
      <c r="E323" s="27" t="n">
        <f aca="false">IF($A323="","",IFERROR(VLOOKUP(D323,Schichten!$A$5:$G$24,6,FALSE()),0))</f>
        <v>8</v>
      </c>
      <c r="F323" s="27" t="n">
        <f aca="false">IF($A323="","",IFERROR(VLOOKUP(D323,Schichten!$A$5:$G$24,7,FALSE()),0))</f>
        <v>0</v>
      </c>
      <c r="G323" s="28" t="n">
        <f aca="false">IF($A323="","",IF(N(E323)=0,"",$A323+VLOOKUP(D323,Schichten!$A$5:$G$24,3,FALSE())))</f>
        <v>46706.5833333333</v>
      </c>
      <c r="H323" s="28" t="n">
        <f aca="false">IF(G323="","",$A323+VLOOKUP(D323,Schichten!$A$5:$G$24,4,FALSE())+IF(VLOOKUP(D323,Schichten!$A$5:$G$24,4,FALSE())&lt;=VLOOKUP(D323,Schichten!$A$5:$G$24,3,FALSE()),1,0))</f>
        <v>46706.9166666667</v>
      </c>
      <c r="I323" s="28" t="n">
        <f aca="false">IF($A323="","",IF(N(E322)&gt;0,H322,I322))</f>
        <v>46705.9166666667</v>
      </c>
      <c r="J323" s="27" t="n">
        <f aca="false">IF(OR(G323="",I323=""),"",(G323-I323)*24)</f>
        <v>16</v>
      </c>
      <c r="K323" s="21" t="n">
        <f aca="false">IF($A323="","",IF(N(E323)&gt;0,N(K322)+1,0))</f>
        <v>4</v>
      </c>
      <c r="L323" s="21" t="n">
        <f aca="false">IF($A323="","",IF(N(F323)&gt;0,N(L322)+1,0))</f>
        <v>0</v>
      </c>
      <c r="M323" s="21" t="str">
        <f aca="false">IF($A323="","",IF(WEEKDAY($A323,2)&lt;&gt;7,"",IF(AND(OR(G323="",N(G323)&gt;=$A323+16/24,N(H323)&lt;=$A323+6/24),OR(I323="",N(I323)&lt;=$A323+6/24)),1,0)))</f>
        <v/>
      </c>
      <c r="N323" s="26" t="str">
        <f aca="false">IF($A323="","",IF(INDEX(Muster!$C$7:$BF$7,1,MOD($A323-Einstellungen!$C$6,Einstellungen!$C$7)+1)="","-",INDEX(Muster!$C$7:$BF$7,1,MOD($A323-Einstellungen!$C$6,Einstellungen!$C$7)+1)))</f>
        <v>F</v>
      </c>
      <c r="O323" s="27" t="n">
        <f aca="false">IF($A323="","",IFERROR(VLOOKUP(N323,Schichten!$A$5:$G$24,6,FALSE()),0))</f>
        <v>8</v>
      </c>
      <c r="P323" s="27" t="n">
        <f aca="false">IF($A323="","",IFERROR(VLOOKUP(N323,Schichten!$A$5:$G$24,7,FALSE()),0))</f>
        <v>0</v>
      </c>
      <c r="Q323" s="28" t="n">
        <f aca="false">IF($A323="","",IF(N(O323)=0,"",$A323+VLOOKUP(N323,Schichten!$A$5:$G$24,3,FALSE())))</f>
        <v>46706.25</v>
      </c>
      <c r="R323" s="28" t="n">
        <f aca="false">IF(Q323="","",$A323+VLOOKUP(N323,Schichten!$A$5:$G$24,4,FALSE())+IF(VLOOKUP(N323,Schichten!$A$5:$G$24,4,FALSE())&lt;=VLOOKUP(N323,Schichten!$A$5:$G$24,3,FALSE()),1,0))</f>
        <v>46706.5833333333</v>
      </c>
      <c r="S323" s="28" t="n">
        <f aca="false">IF($A323="","",IF(N(O322)&gt;0,R322,S322))</f>
        <v>46705.5833333333</v>
      </c>
      <c r="T323" s="27" t="n">
        <f aca="false">IF(OR(Q323="",S323=""),"",(Q323-S323)*24)</f>
        <v>16</v>
      </c>
      <c r="U323" s="21" t="n">
        <f aca="false">IF($A323="","",IF(N(O323)&gt;0,N(U322)+1,0))</f>
        <v>2</v>
      </c>
      <c r="V323" s="21" t="n">
        <f aca="false">IF($A323="","",IF(N(P323)&gt;0,N(V322)+1,0))</f>
        <v>0</v>
      </c>
      <c r="W323" s="21" t="str">
        <f aca="false">IF($A323="","",IF(WEEKDAY($A323,2)&lt;&gt;7,"",IF(AND(OR(Q323="",N(Q323)&gt;=$A323+16/24,N(R323)&lt;=$A323+6/24),OR(S323="",N(S323)&lt;=$A323+6/24)),1,0)))</f>
        <v/>
      </c>
      <c r="X323" s="26" t="str">
        <f aca="false">IF($A323="","",IF(INDEX(Muster!$C$8:$BF$8,1,MOD($A323-Einstellungen!$C$6,Einstellungen!$C$7)+1)="","-",INDEX(Muster!$C$8:$BF$8,1,MOD($A323-Einstellungen!$C$6,Einstellungen!$C$7)+1)))</f>
        <v>-</v>
      </c>
      <c r="Y323" s="27" t="n">
        <f aca="false">IF($A323="","",IFERROR(VLOOKUP(X323,Schichten!$A$5:$G$24,6,FALSE()),0))</f>
        <v>0</v>
      </c>
      <c r="Z323" s="27" t="n">
        <f aca="false">IF($A323="","",IFERROR(VLOOKUP(X323,Schichten!$A$5:$G$24,7,FALSE()),0))</f>
        <v>0</v>
      </c>
      <c r="AA323" s="28" t="str">
        <f aca="false">IF($A323="","",IF(N(Y323)=0,"",$A323+VLOOKUP(X323,Schichten!$A$5:$G$24,3,FALSE())))</f>
        <v/>
      </c>
      <c r="AB323" s="28" t="str">
        <f aca="false">IF(AA323="","",$A323+VLOOKUP(X323,Schichten!$A$5:$G$24,4,FALSE())+IF(VLOOKUP(X323,Schichten!$A$5:$G$24,4,FALSE())&lt;=VLOOKUP(X323,Schichten!$A$5:$G$24,3,FALSE()),1,0))</f>
        <v/>
      </c>
      <c r="AC323" s="28" t="n">
        <f aca="false">IF($A323="","",IF(N(Y322)&gt;0,AB322,AC322))</f>
        <v>46705.25</v>
      </c>
      <c r="AD323" s="27" t="str">
        <f aca="false">IF(OR(AA323="",AC323=""),"",(AA323-AC323)*24)</f>
        <v/>
      </c>
      <c r="AE323" s="21" t="n">
        <f aca="false">IF($A323="","",IF(N(Y323)&gt;0,N(AE322)+1,0))</f>
        <v>0</v>
      </c>
      <c r="AF323" s="21" t="n">
        <f aca="false">IF($A323="","",IF(N(Z323)&gt;0,N(AF322)+1,0))</f>
        <v>0</v>
      </c>
      <c r="AG323" s="21" t="str">
        <f aca="false">IF($A323="","",IF(WEEKDAY($A323,2)&lt;&gt;7,"",IF(AND(OR(AA323="",N(AA323)&gt;=$A323+16/24,N(AB323)&lt;=$A323+6/24),OR(AC323="",N(AC323)&lt;=$A323+6/24)),1,0)))</f>
        <v/>
      </c>
      <c r="AH323" s="26" t="str">
        <f aca="false">IF($A323="","",IF(INDEX(Muster!$C$9:$BF$9,1,MOD($A323-Einstellungen!$C$6,Einstellungen!$C$7)+1)="","-",INDEX(Muster!$C$9:$BF$9,1,MOD($A323-Einstellungen!$C$6,Einstellungen!$C$7)+1)))</f>
        <v>N</v>
      </c>
      <c r="AI323" s="27" t="n">
        <f aca="false">IF($A323="","",IFERROR(VLOOKUP(AH323,Schichten!$A$5:$G$24,6,FALSE()),0))</f>
        <v>8</v>
      </c>
      <c r="AJ323" s="27" t="n">
        <f aca="false">IF($A323="","",IFERROR(VLOOKUP(AH323,Schichten!$A$5:$G$24,7,FALSE()),0))</f>
        <v>7</v>
      </c>
      <c r="AK323" s="28" t="n">
        <f aca="false">IF($A323="","",IF(N(AI323)=0,"",$A323+VLOOKUP(AH323,Schichten!$A$5:$G$24,3,FALSE())))</f>
        <v>46706.9166666667</v>
      </c>
      <c r="AL323" s="28" t="n">
        <f aca="false">IF(AK323="","",$A323+VLOOKUP(AH323,Schichten!$A$5:$G$24,4,FALSE())+IF(VLOOKUP(AH323,Schichten!$A$5:$G$24,4,FALSE())&lt;=VLOOKUP(AH323,Schichten!$A$5:$G$24,3,FALSE()),1,0))</f>
        <v>46707.25</v>
      </c>
      <c r="AM323" s="28" t="n">
        <f aca="false">IF($A323="","",IF(N(AI322)&gt;0,AL322,AM322))</f>
        <v>46706.25</v>
      </c>
      <c r="AN323" s="27" t="n">
        <f aca="false">IF(OR(AK323="",AM323=""),"",(AK323-AM323)*24)</f>
        <v>16</v>
      </c>
      <c r="AO323" s="21" t="n">
        <f aca="false">IF($A323="","",IF(N(AI323)&gt;0,N(AO322)+1,0))</f>
        <v>6</v>
      </c>
      <c r="AP323" s="21" t="n">
        <f aca="false">IF($A323="","",IF(N(AJ323)&gt;0,N(AP322)+1,0))</f>
        <v>2</v>
      </c>
      <c r="AQ323" s="21" t="str">
        <f aca="false">IF($A323="","",IF(WEEKDAY($A323,2)&lt;&gt;7,"",IF(AND(OR(AK323="",N(AK323)&gt;=$A323+16/24,N(AL323)&lt;=$A323+6/24),OR(AM323="",N(AM323)&lt;=$A323+6/24)),1,0)))</f>
        <v/>
      </c>
      <c r="AR323" s="26" t="str">
        <f aca="false">IF($A323="","",IF(INDEX(Muster!$C$10:$BF$10,1,MOD($A323-Einstellungen!$C$6,Einstellungen!$C$7)+1)="","-",INDEX(Muster!$C$10:$BF$10,1,MOD($A323-Einstellungen!$C$6,Einstellungen!$C$7)+1)))</f>
        <v>-</v>
      </c>
      <c r="AS323" s="27" t="n">
        <f aca="false">IF($A323="","",IFERROR(VLOOKUP(AR323,Schichten!$A$5:$G$24,6,FALSE()),0))</f>
        <v>0</v>
      </c>
      <c r="AT323" s="27" t="n">
        <f aca="false">IF($A323="","",IFERROR(VLOOKUP(AR323,Schichten!$A$5:$G$24,7,FALSE()),0))</f>
        <v>0</v>
      </c>
      <c r="AU323" s="28" t="str">
        <f aca="false">IF($A323="","",IF(N(AS323)=0,"",$A323+VLOOKUP(AR323,Schichten!$A$5:$G$24,3,FALSE())))</f>
        <v/>
      </c>
      <c r="AV323" s="28" t="str">
        <f aca="false">IF(AU323="","",$A323+VLOOKUP(AR323,Schichten!$A$5:$G$24,4,FALSE())+IF(VLOOKUP(AR323,Schichten!$A$5:$G$24,4,FALSE())&lt;=VLOOKUP(AR323,Schichten!$A$5:$G$24,3,FALSE()),1,0))</f>
        <v/>
      </c>
      <c r="AW323" s="28" t="str">
        <f aca="false">IF($A323="","",IF(N(AS322)&gt;0,AV322,AW322))</f>
        <v/>
      </c>
      <c r="AX323" s="27" t="str">
        <f aca="false">IF(OR(AU323="",AW323=""),"",(AU323-AW323)*24)</f>
        <v/>
      </c>
      <c r="AY323" s="21" t="n">
        <f aca="false">IF($A323="","",IF(N(AS323)&gt;0,N(AY322)+1,0))</f>
        <v>0</v>
      </c>
      <c r="AZ323" s="21" t="n">
        <f aca="false">IF($A323="","",IF(N(AT323)&gt;0,N(AZ322)+1,0))</f>
        <v>0</v>
      </c>
      <c r="BA323" s="21" t="str">
        <f aca="false">IF($A323="","",IF(WEEKDAY($A323,2)&lt;&gt;7,"",IF(AND(OR(AU323="",N(AU323)&gt;=$A323+16/24,N(AV323)&lt;=$A323+6/24),OR(AW323="",N(AW323)&lt;=$A323+6/24)),1,0)))</f>
        <v/>
      </c>
    </row>
    <row r="324" customFormat="false" ht="15" hidden="false" customHeight="false" outlineLevel="0" collapsed="false">
      <c r="A324" s="25" t="n">
        <f aca="false">IF(YEAR(DATE(Einstellungen!$C$4,1,1)+319)=Einstellungen!$C$4,DATE(Einstellungen!$C$4,1,1)+319,"")</f>
        <v>46707</v>
      </c>
      <c r="B324" s="26" t="str">
        <f aca="false">IF($A324="","",CHOOSE(WEEKDAY($A324,2),"Mo","Di","Mi","Do","Fr","Sa","So"))</f>
        <v>Di</v>
      </c>
      <c r="C324" s="26" t="n">
        <f aca="false">IF($A324="","",MONTH($A324))</f>
        <v>11</v>
      </c>
      <c r="D324" s="26" t="str">
        <f aca="false">IF($A324="","",IF(INDEX(Muster!$C$6:$BF$6,1,MOD($A324-Einstellungen!$C$6,Einstellungen!$C$7)+1)="","-",INDEX(Muster!$C$6:$BF$6,1,MOD($A324-Einstellungen!$C$6,Einstellungen!$C$7)+1)))</f>
        <v>N</v>
      </c>
      <c r="E324" s="27" t="n">
        <f aca="false">IF($A324="","",IFERROR(VLOOKUP(D324,Schichten!$A$5:$G$24,6,FALSE()),0))</f>
        <v>8</v>
      </c>
      <c r="F324" s="27" t="n">
        <f aca="false">IF($A324="","",IFERROR(VLOOKUP(D324,Schichten!$A$5:$G$24,7,FALSE()),0))</f>
        <v>7</v>
      </c>
      <c r="G324" s="28" t="n">
        <f aca="false">IF($A324="","",IF(N(E324)=0,"",$A324+VLOOKUP(D324,Schichten!$A$5:$G$24,3,FALSE())))</f>
        <v>46707.9166666667</v>
      </c>
      <c r="H324" s="28" t="n">
        <f aca="false">IF(G324="","",$A324+VLOOKUP(D324,Schichten!$A$5:$G$24,4,FALSE())+IF(VLOOKUP(D324,Schichten!$A$5:$G$24,4,FALSE())&lt;=VLOOKUP(D324,Schichten!$A$5:$G$24,3,FALSE()),1,0))</f>
        <v>46708.25</v>
      </c>
      <c r="I324" s="28" t="n">
        <f aca="false">IF($A324="","",IF(N(E323)&gt;0,H323,I323))</f>
        <v>46706.9166666667</v>
      </c>
      <c r="J324" s="27" t="n">
        <f aca="false">IF(OR(G324="",I324=""),"",(G324-I324)*24)</f>
        <v>24</v>
      </c>
      <c r="K324" s="21" t="n">
        <f aca="false">IF($A324="","",IF(N(E324)&gt;0,N(K323)+1,0))</f>
        <v>5</v>
      </c>
      <c r="L324" s="21" t="n">
        <f aca="false">IF($A324="","",IF(N(F324)&gt;0,N(L323)+1,0))</f>
        <v>1</v>
      </c>
      <c r="M324" s="21" t="str">
        <f aca="false">IF($A324="","",IF(WEEKDAY($A324,2)&lt;&gt;7,"",IF(AND(OR(G324="",N(G324)&gt;=$A324+16/24,N(H324)&lt;=$A324+6/24),OR(I324="",N(I324)&lt;=$A324+6/24)),1,0)))</f>
        <v/>
      </c>
      <c r="N324" s="26" t="str">
        <f aca="false">IF($A324="","",IF(INDEX(Muster!$C$7:$BF$7,1,MOD($A324-Einstellungen!$C$6,Einstellungen!$C$7)+1)="","-",INDEX(Muster!$C$7:$BF$7,1,MOD($A324-Einstellungen!$C$6,Einstellungen!$C$7)+1)))</f>
        <v>S</v>
      </c>
      <c r="O324" s="27" t="n">
        <f aca="false">IF($A324="","",IFERROR(VLOOKUP(N324,Schichten!$A$5:$G$24,6,FALSE()),0))</f>
        <v>8</v>
      </c>
      <c r="P324" s="27" t="n">
        <f aca="false">IF($A324="","",IFERROR(VLOOKUP(N324,Schichten!$A$5:$G$24,7,FALSE()),0))</f>
        <v>0</v>
      </c>
      <c r="Q324" s="28" t="n">
        <f aca="false">IF($A324="","",IF(N(O324)=0,"",$A324+VLOOKUP(N324,Schichten!$A$5:$G$24,3,FALSE())))</f>
        <v>46707.5833333333</v>
      </c>
      <c r="R324" s="28" t="n">
        <f aca="false">IF(Q324="","",$A324+VLOOKUP(N324,Schichten!$A$5:$G$24,4,FALSE())+IF(VLOOKUP(N324,Schichten!$A$5:$G$24,4,FALSE())&lt;=VLOOKUP(N324,Schichten!$A$5:$G$24,3,FALSE()),1,0))</f>
        <v>46707.9166666667</v>
      </c>
      <c r="S324" s="28" t="n">
        <f aca="false">IF($A324="","",IF(N(O323)&gt;0,R323,S323))</f>
        <v>46706.5833333333</v>
      </c>
      <c r="T324" s="27" t="n">
        <f aca="false">IF(OR(Q324="",S324=""),"",(Q324-S324)*24)</f>
        <v>24</v>
      </c>
      <c r="U324" s="21" t="n">
        <f aca="false">IF($A324="","",IF(N(O324)&gt;0,N(U323)+1,0))</f>
        <v>3</v>
      </c>
      <c r="V324" s="21" t="n">
        <f aca="false">IF($A324="","",IF(N(P324)&gt;0,N(V323)+1,0))</f>
        <v>0</v>
      </c>
      <c r="W324" s="21" t="str">
        <f aca="false">IF($A324="","",IF(WEEKDAY($A324,2)&lt;&gt;7,"",IF(AND(OR(Q324="",N(Q324)&gt;=$A324+16/24,N(R324)&lt;=$A324+6/24),OR(S324="",N(S324)&lt;=$A324+6/24)),1,0)))</f>
        <v/>
      </c>
      <c r="X324" s="26" t="str">
        <f aca="false">IF($A324="","",IF(INDEX(Muster!$C$8:$BF$8,1,MOD($A324-Einstellungen!$C$6,Einstellungen!$C$7)+1)="","-",INDEX(Muster!$C$8:$BF$8,1,MOD($A324-Einstellungen!$C$6,Einstellungen!$C$7)+1)))</f>
        <v>F</v>
      </c>
      <c r="Y324" s="27" t="n">
        <f aca="false">IF($A324="","",IFERROR(VLOOKUP(X324,Schichten!$A$5:$G$24,6,FALSE()),0))</f>
        <v>8</v>
      </c>
      <c r="Z324" s="27" t="n">
        <f aca="false">IF($A324="","",IFERROR(VLOOKUP(X324,Schichten!$A$5:$G$24,7,FALSE()),0))</f>
        <v>0</v>
      </c>
      <c r="AA324" s="28" t="n">
        <f aca="false">IF($A324="","",IF(N(Y324)=0,"",$A324+VLOOKUP(X324,Schichten!$A$5:$G$24,3,FALSE())))</f>
        <v>46707.25</v>
      </c>
      <c r="AB324" s="28" t="n">
        <f aca="false">IF(AA324="","",$A324+VLOOKUP(X324,Schichten!$A$5:$G$24,4,FALSE())+IF(VLOOKUP(X324,Schichten!$A$5:$G$24,4,FALSE())&lt;=VLOOKUP(X324,Schichten!$A$5:$G$24,3,FALSE()),1,0))</f>
        <v>46707.5833333333</v>
      </c>
      <c r="AC324" s="28" t="n">
        <f aca="false">IF($A324="","",IF(N(Y323)&gt;0,AB323,AC323))</f>
        <v>46705.25</v>
      </c>
      <c r="AD324" s="27" t="n">
        <f aca="false">IF(OR(AA324="",AC324=""),"",(AA324-AC324)*24)</f>
        <v>48</v>
      </c>
      <c r="AE324" s="21" t="n">
        <f aca="false">IF($A324="","",IF(N(Y324)&gt;0,N(AE323)+1,0))</f>
        <v>1</v>
      </c>
      <c r="AF324" s="21" t="n">
        <f aca="false">IF($A324="","",IF(N(Z324)&gt;0,N(AF323)+1,0))</f>
        <v>0</v>
      </c>
      <c r="AG324" s="21" t="str">
        <f aca="false">IF($A324="","",IF(WEEKDAY($A324,2)&lt;&gt;7,"",IF(AND(OR(AA324="",N(AA324)&gt;=$A324+16/24,N(AB324)&lt;=$A324+6/24),OR(AC324="",N(AC324)&lt;=$A324+6/24)),1,0)))</f>
        <v/>
      </c>
      <c r="AH324" s="26" t="str">
        <f aca="false">IF($A324="","",IF(INDEX(Muster!$C$9:$BF$9,1,MOD($A324-Einstellungen!$C$6,Einstellungen!$C$7)+1)="","-",INDEX(Muster!$C$9:$BF$9,1,MOD($A324-Einstellungen!$C$6,Einstellungen!$C$7)+1)))</f>
        <v>-</v>
      </c>
      <c r="AI324" s="27" t="n">
        <f aca="false">IF($A324="","",IFERROR(VLOOKUP(AH324,Schichten!$A$5:$G$24,6,FALSE()),0))</f>
        <v>0</v>
      </c>
      <c r="AJ324" s="27" t="n">
        <f aca="false">IF($A324="","",IFERROR(VLOOKUP(AH324,Schichten!$A$5:$G$24,7,FALSE()),0))</f>
        <v>0</v>
      </c>
      <c r="AK324" s="28" t="str">
        <f aca="false">IF($A324="","",IF(N(AI324)=0,"",$A324+VLOOKUP(AH324,Schichten!$A$5:$G$24,3,FALSE())))</f>
        <v/>
      </c>
      <c r="AL324" s="28" t="str">
        <f aca="false">IF(AK324="","",$A324+VLOOKUP(AH324,Schichten!$A$5:$G$24,4,FALSE())+IF(VLOOKUP(AH324,Schichten!$A$5:$G$24,4,FALSE())&lt;=VLOOKUP(AH324,Schichten!$A$5:$G$24,3,FALSE()),1,0))</f>
        <v/>
      </c>
      <c r="AM324" s="28" t="n">
        <f aca="false">IF($A324="","",IF(N(AI323)&gt;0,AL323,AM323))</f>
        <v>46707.25</v>
      </c>
      <c r="AN324" s="27" t="str">
        <f aca="false">IF(OR(AK324="",AM324=""),"",(AK324-AM324)*24)</f>
        <v/>
      </c>
      <c r="AO324" s="21" t="n">
        <f aca="false">IF($A324="","",IF(N(AI324)&gt;0,N(AO323)+1,0))</f>
        <v>0</v>
      </c>
      <c r="AP324" s="21" t="n">
        <f aca="false">IF($A324="","",IF(N(AJ324)&gt;0,N(AP323)+1,0))</f>
        <v>0</v>
      </c>
      <c r="AQ324" s="21" t="str">
        <f aca="false">IF($A324="","",IF(WEEKDAY($A324,2)&lt;&gt;7,"",IF(AND(OR(AK324="",N(AK324)&gt;=$A324+16/24,N(AL324)&lt;=$A324+6/24),OR(AM324="",N(AM324)&lt;=$A324+6/24)),1,0)))</f>
        <v/>
      </c>
      <c r="AR324" s="26" t="str">
        <f aca="false">IF($A324="","",IF(INDEX(Muster!$C$10:$BF$10,1,MOD($A324-Einstellungen!$C$6,Einstellungen!$C$7)+1)="","-",INDEX(Muster!$C$10:$BF$10,1,MOD($A324-Einstellungen!$C$6,Einstellungen!$C$7)+1)))</f>
        <v>-</v>
      </c>
      <c r="AS324" s="27" t="n">
        <f aca="false">IF($A324="","",IFERROR(VLOOKUP(AR324,Schichten!$A$5:$G$24,6,FALSE()),0))</f>
        <v>0</v>
      </c>
      <c r="AT324" s="27" t="n">
        <f aca="false">IF($A324="","",IFERROR(VLOOKUP(AR324,Schichten!$A$5:$G$24,7,FALSE()),0))</f>
        <v>0</v>
      </c>
      <c r="AU324" s="28" t="str">
        <f aca="false">IF($A324="","",IF(N(AS324)=0,"",$A324+VLOOKUP(AR324,Schichten!$A$5:$G$24,3,FALSE())))</f>
        <v/>
      </c>
      <c r="AV324" s="28" t="str">
        <f aca="false">IF(AU324="","",$A324+VLOOKUP(AR324,Schichten!$A$5:$G$24,4,FALSE())+IF(VLOOKUP(AR324,Schichten!$A$5:$G$24,4,FALSE())&lt;=VLOOKUP(AR324,Schichten!$A$5:$G$24,3,FALSE()),1,0))</f>
        <v/>
      </c>
      <c r="AW324" s="28" t="str">
        <f aca="false">IF($A324="","",IF(N(AS323)&gt;0,AV323,AW323))</f>
        <v/>
      </c>
      <c r="AX324" s="27" t="str">
        <f aca="false">IF(OR(AU324="",AW324=""),"",(AU324-AW324)*24)</f>
        <v/>
      </c>
      <c r="AY324" s="21" t="n">
        <f aca="false">IF($A324="","",IF(N(AS324)&gt;0,N(AY323)+1,0))</f>
        <v>0</v>
      </c>
      <c r="AZ324" s="21" t="n">
        <f aca="false">IF($A324="","",IF(N(AT324)&gt;0,N(AZ323)+1,0))</f>
        <v>0</v>
      </c>
      <c r="BA324" s="21" t="str">
        <f aca="false">IF($A324="","",IF(WEEKDAY($A324,2)&lt;&gt;7,"",IF(AND(OR(AU324="",N(AU324)&gt;=$A324+16/24,N(AV324)&lt;=$A324+6/24),OR(AW324="",N(AW324)&lt;=$A324+6/24)),1,0)))</f>
        <v/>
      </c>
    </row>
    <row r="325" customFormat="false" ht="15" hidden="false" customHeight="false" outlineLevel="0" collapsed="false">
      <c r="A325" s="25" t="n">
        <f aca="false">IF(YEAR(DATE(Einstellungen!$C$4,1,1)+320)=Einstellungen!$C$4,DATE(Einstellungen!$C$4,1,1)+320,"")</f>
        <v>46708</v>
      </c>
      <c r="B325" s="26" t="str">
        <f aca="false">IF($A325="","",CHOOSE(WEEKDAY($A325,2),"Mo","Di","Mi","Do","Fr","Sa","So"))</f>
        <v>Mi</v>
      </c>
      <c r="C325" s="26" t="n">
        <f aca="false">IF($A325="","",MONTH($A325))</f>
        <v>11</v>
      </c>
      <c r="D325" s="26" t="str">
        <f aca="false">IF($A325="","",IF(INDEX(Muster!$C$6:$BF$6,1,MOD($A325-Einstellungen!$C$6,Einstellungen!$C$7)+1)="","-",INDEX(Muster!$C$6:$BF$6,1,MOD($A325-Einstellungen!$C$6,Einstellungen!$C$7)+1)))</f>
        <v>N</v>
      </c>
      <c r="E325" s="27" t="n">
        <f aca="false">IF($A325="","",IFERROR(VLOOKUP(D325,Schichten!$A$5:$G$24,6,FALSE()),0))</f>
        <v>8</v>
      </c>
      <c r="F325" s="27" t="n">
        <f aca="false">IF($A325="","",IFERROR(VLOOKUP(D325,Schichten!$A$5:$G$24,7,FALSE()),0))</f>
        <v>7</v>
      </c>
      <c r="G325" s="28" t="n">
        <f aca="false">IF($A325="","",IF(N(E325)=0,"",$A325+VLOOKUP(D325,Schichten!$A$5:$G$24,3,FALSE())))</f>
        <v>46708.9166666667</v>
      </c>
      <c r="H325" s="28" t="n">
        <f aca="false">IF(G325="","",$A325+VLOOKUP(D325,Schichten!$A$5:$G$24,4,FALSE())+IF(VLOOKUP(D325,Schichten!$A$5:$G$24,4,FALSE())&lt;=VLOOKUP(D325,Schichten!$A$5:$G$24,3,FALSE()),1,0))</f>
        <v>46709.25</v>
      </c>
      <c r="I325" s="28" t="n">
        <f aca="false">IF($A325="","",IF(N(E324)&gt;0,H324,I324))</f>
        <v>46708.25</v>
      </c>
      <c r="J325" s="27" t="n">
        <f aca="false">IF(OR(G325="",I325=""),"",(G325-I325)*24)</f>
        <v>16</v>
      </c>
      <c r="K325" s="21" t="n">
        <f aca="false">IF($A325="","",IF(N(E325)&gt;0,N(K324)+1,0))</f>
        <v>6</v>
      </c>
      <c r="L325" s="21" t="n">
        <f aca="false">IF($A325="","",IF(N(F325)&gt;0,N(L324)+1,0))</f>
        <v>2</v>
      </c>
      <c r="M325" s="21" t="str">
        <f aca="false">IF($A325="","",IF(WEEKDAY($A325,2)&lt;&gt;7,"",IF(AND(OR(G325="",N(G325)&gt;=$A325+16/24,N(H325)&lt;=$A325+6/24),OR(I325="",N(I325)&lt;=$A325+6/24)),1,0)))</f>
        <v/>
      </c>
      <c r="N325" s="26" t="str">
        <f aca="false">IF($A325="","",IF(INDEX(Muster!$C$7:$BF$7,1,MOD($A325-Einstellungen!$C$6,Einstellungen!$C$7)+1)="","-",INDEX(Muster!$C$7:$BF$7,1,MOD($A325-Einstellungen!$C$6,Einstellungen!$C$7)+1)))</f>
        <v>S</v>
      </c>
      <c r="O325" s="27" t="n">
        <f aca="false">IF($A325="","",IFERROR(VLOOKUP(N325,Schichten!$A$5:$G$24,6,FALSE()),0))</f>
        <v>8</v>
      </c>
      <c r="P325" s="27" t="n">
        <f aca="false">IF($A325="","",IFERROR(VLOOKUP(N325,Schichten!$A$5:$G$24,7,FALSE()),0))</f>
        <v>0</v>
      </c>
      <c r="Q325" s="28" t="n">
        <f aca="false">IF($A325="","",IF(N(O325)=0,"",$A325+VLOOKUP(N325,Schichten!$A$5:$G$24,3,FALSE())))</f>
        <v>46708.5833333333</v>
      </c>
      <c r="R325" s="28" t="n">
        <f aca="false">IF(Q325="","",$A325+VLOOKUP(N325,Schichten!$A$5:$G$24,4,FALSE())+IF(VLOOKUP(N325,Schichten!$A$5:$G$24,4,FALSE())&lt;=VLOOKUP(N325,Schichten!$A$5:$G$24,3,FALSE()),1,0))</f>
        <v>46708.9166666667</v>
      </c>
      <c r="S325" s="28" t="n">
        <f aca="false">IF($A325="","",IF(N(O324)&gt;0,R324,S324))</f>
        <v>46707.9166666667</v>
      </c>
      <c r="T325" s="27" t="n">
        <f aca="false">IF(OR(Q325="",S325=""),"",(Q325-S325)*24)</f>
        <v>16</v>
      </c>
      <c r="U325" s="21" t="n">
        <f aca="false">IF($A325="","",IF(N(O325)&gt;0,N(U324)+1,0))</f>
        <v>4</v>
      </c>
      <c r="V325" s="21" t="n">
        <f aca="false">IF($A325="","",IF(N(P325)&gt;0,N(V324)+1,0))</f>
        <v>0</v>
      </c>
      <c r="W325" s="21" t="str">
        <f aca="false">IF($A325="","",IF(WEEKDAY($A325,2)&lt;&gt;7,"",IF(AND(OR(Q325="",N(Q325)&gt;=$A325+16/24,N(R325)&lt;=$A325+6/24),OR(S325="",N(S325)&lt;=$A325+6/24)),1,0)))</f>
        <v/>
      </c>
      <c r="X325" s="26" t="str">
        <f aca="false">IF($A325="","",IF(INDEX(Muster!$C$8:$BF$8,1,MOD($A325-Einstellungen!$C$6,Einstellungen!$C$7)+1)="","-",INDEX(Muster!$C$8:$BF$8,1,MOD($A325-Einstellungen!$C$6,Einstellungen!$C$7)+1)))</f>
        <v>F</v>
      </c>
      <c r="Y325" s="27" t="n">
        <f aca="false">IF($A325="","",IFERROR(VLOOKUP(X325,Schichten!$A$5:$G$24,6,FALSE()),0))</f>
        <v>8</v>
      </c>
      <c r="Z325" s="27" t="n">
        <f aca="false">IF($A325="","",IFERROR(VLOOKUP(X325,Schichten!$A$5:$G$24,7,FALSE()),0))</f>
        <v>0</v>
      </c>
      <c r="AA325" s="28" t="n">
        <f aca="false">IF($A325="","",IF(N(Y325)=0,"",$A325+VLOOKUP(X325,Schichten!$A$5:$G$24,3,FALSE())))</f>
        <v>46708.25</v>
      </c>
      <c r="AB325" s="28" t="n">
        <f aca="false">IF(AA325="","",$A325+VLOOKUP(X325,Schichten!$A$5:$G$24,4,FALSE())+IF(VLOOKUP(X325,Schichten!$A$5:$G$24,4,FALSE())&lt;=VLOOKUP(X325,Schichten!$A$5:$G$24,3,FALSE()),1,0))</f>
        <v>46708.5833333333</v>
      </c>
      <c r="AC325" s="28" t="n">
        <f aca="false">IF($A325="","",IF(N(Y324)&gt;0,AB324,AC324))</f>
        <v>46707.5833333333</v>
      </c>
      <c r="AD325" s="27" t="n">
        <f aca="false">IF(OR(AA325="",AC325=""),"",(AA325-AC325)*24)</f>
        <v>16</v>
      </c>
      <c r="AE325" s="21" t="n">
        <f aca="false">IF($A325="","",IF(N(Y325)&gt;0,N(AE324)+1,0))</f>
        <v>2</v>
      </c>
      <c r="AF325" s="21" t="n">
        <f aca="false">IF($A325="","",IF(N(Z325)&gt;0,N(AF324)+1,0))</f>
        <v>0</v>
      </c>
      <c r="AG325" s="21" t="str">
        <f aca="false">IF($A325="","",IF(WEEKDAY($A325,2)&lt;&gt;7,"",IF(AND(OR(AA325="",N(AA325)&gt;=$A325+16/24,N(AB325)&lt;=$A325+6/24),OR(AC325="",N(AC325)&lt;=$A325+6/24)),1,0)))</f>
        <v/>
      </c>
      <c r="AH325" s="26" t="str">
        <f aca="false">IF($A325="","",IF(INDEX(Muster!$C$9:$BF$9,1,MOD($A325-Einstellungen!$C$6,Einstellungen!$C$7)+1)="","-",INDEX(Muster!$C$9:$BF$9,1,MOD($A325-Einstellungen!$C$6,Einstellungen!$C$7)+1)))</f>
        <v>-</v>
      </c>
      <c r="AI325" s="27" t="n">
        <f aca="false">IF($A325="","",IFERROR(VLOOKUP(AH325,Schichten!$A$5:$G$24,6,FALSE()),0))</f>
        <v>0</v>
      </c>
      <c r="AJ325" s="27" t="n">
        <f aca="false">IF($A325="","",IFERROR(VLOOKUP(AH325,Schichten!$A$5:$G$24,7,FALSE()),0))</f>
        <v>0</v>
      </c>
      <c r="AK325" s="28" t="str">
        <f aca="false">IF($A325="","",IF(N(AI325)=0,"",$A325+VLOOKUP(AH325,Schichten!$A$5:$G$24,3,FALSE())))</f>
        <v/>
      </c>
      <c r="AL325" s="28" t="str">
        <f aca="false">IF(AK325="","",$A325+VLOOKUP(AH325,Schichten!$A$5:$G$24,4,FALSE())+IF(VLOOKUP(AH325,Schichten!$A$5:$G$24,4,FALSE())&lt;=VLOOKUP(AH325,Schichten!$A$5:$G$24,3,FALSE()),1,0))</f>
        <v/>
      </c>
      <c r="AM325" s="28" t="n">
        <f aca="false">IF($A325="","",IF(N(AI324)&gt;0,AL324,AM324))</f>
        <v>46707.25</v>
      </c>
      <c r="AN325" s="27" t="str">
        <f aca="false">IF(OR(AK325="",AM325=""),"",(AK325-AM325)*24)</f>
        <v/>
      </c>
      <c r="AO325" s="21" t="n">
        <f aca="false">IF($A325="","",IF(N(AI325)&gt;0,N(AO324)+1,0))</f>
        <v>0</v>
      </c>
      <c r="AP325" s="21" t="n">
        <f aca="false">IF($A325="","",IF(N(AJ325)&gt;0,N(AP324)+1,0))</f>
        <v>0</v>
      </c>
      <c r="AQ325" s="21" t="str">
        <f aca="false">IF($A325="","",IF(WEEKDAY($A325,2)&lt;&gt;7,"",IF(AND(OR(AK325="",N(AK325)&gt;=$A325+16/24,N(AL325)&lt;=$A325+6/24),OR(AM325="",N(AM325)&lt;=$A325+6/24)),1,0)))</f>
        <v/>
      </c>
      <c r="AR325" s="26" t="str">
        <f aca="false">IF($A325="","",IF(INDEX(Muster!$C$10:$BF$10,1,MOD($A325-Einstellungen!$C$6,Einstellungen!$C$7)+1)="","-",INDEX(Muster!$C$10:$BF$10,1,MOD($A325-Einstellungen!$C$6,Einstellungen!$C$7)+1)))</f>
        <v>-</v>
      </c>
      <c r="AS325" s="27" t="n">
        <f aca="false">IF($A325="","",IFERROR(VLOOKUP(AR325,Schichten!$A$5:$G$24,6,FALSE()),0))</f>
        <v>0</v>
      </c>
      <c r="AT325" s="27" t="n">
        <f aca="false">IF($A325="","",IFERROR(VLOOKUP(AR325,Schichten!$A$5:$G$24,7,FALSE()),0))</f>
        <v>0</v>
      </c>
      <c r="AU325" s="28" t="str">
        <f aca="false">IF($A325="","",IF(N(AS325)=0,"",$A325+VLOOKUP(AR325,Schichten!$A$5:$G$24,3,FALSE())))</f>
        <v/>
      </c>
      <c r="AV325" s="28" t="str">
        <f aca="false">IF(AU325="","",$A325+VLOOKUP(AR325,Schichten!$A$5:$G$24,4,FALSE())+IF(VLOOKUP(AR325,Schichten!$A$5:$G$24,4,FALSE())&lt;=VLOOKUP(AR325,Schichten!$A$5:$G$24,3,FALSE()),1,0))</f>
        <v/>
      </c>
      <c r="AW325" s="28" t="str">
        <f aca="false">IF($A325="","",IF(N(AS324)&gt;0,AV324,AW324))</f>
        <v/>
      </c>
      <c r="AX325" s="27" t="str">
        <f aca="false">IF(OR(AU325="",AW325=""),"",(AU325-AW325)*24)</f>
        <v/>
      </c>
      <c r="AY325" s="21" t="n">
        <f aca="false">IF($A325="","",IF(N(AS325)&gt;0,N(AY324)+1,0))</f>
        <v>0</v>
      </c>
      <c r="AZ325" s="21" t="n">
        <f aca="false">IF($A325="","",IF(N(AT325)&gt;0,N(AZ324)+1,0))</f>
        <v>0</v>
      </c>
      <c r="BA325" s="21" t="str">
        <f aca="false">IF($A325="","",IF(WEEKDAY($A325,2)&lt;&gt;7,"",IF(AND(OR(AU325="",N(AU325)&gt;=$A325+16/24,N(AV325)&lt;=$A325+6/24),OR(AW325="",N(AW325)&lt;=$A325+6/24)),1,0)))</f>
        <v/>
      </c>
    </row>
    <row r="326" customFormat="false" ht="15" hidden="false" customHeight="false" outlineLevel="0" collapsed="false">
      <c r="A326" s="25" t="n">
        <f aca="false">IF(YEAR(DATE(Einstellungen!$C$4,1,1)+321)=Einstellungen!$C$4,DATE(Einstellungen!$C$4,1,1)+321,"")</f>
        <v>46709</v>
      </c>
      <c r="B326" s="26" t="str">
        <f aca="false">IF($A326="","",CHOOSE(WEEKDAY($A326,2),"Mo","Di","Mi","Do","Fr","Sa","So"))</f>
        <v>Do</v>
      </c>
      <c r="C326" s="26" t="n">
        <f aca="false">IF($A326="","",MONTH($A326))</f>
        <v>11</v>
      </c>
      <c r="D326" s="26" t="str">
        <f aca="false">IF($A326="","",IF(INDEX(Muster!$C$6:$BF$6,1,MOD($A326-Einstellungen!$C$6,Einstellungen!$C$7)+1)="","-",INDEX(Muster!$C$6:$BF$6,1,MOD($A326-Einstellungen!$C$6,Einstellungen!$C$7)+1)))</f>
        <v>-</v>
      </c>
      <c r="E326" s="27" t="n">
        <f aca="false">IF($A326="","",IFERROR(VLOOKUP(D326,Schichten!$A$5:$G$24,6,FALSE()),0))</f>
        <v>0</v>
      </c>
      <c r="F326" s="27" t="n">
        <f aca="false">IF($A326="","",IFERROR(VLOOKUP(D326,Schichten!$A$5:$G$24,7,FALSE()),0))</f>
        <v>0</v>
      </c>
      <c r="G326" s="28" t="str">
        <f aca="false">IF($A326="","",IF(N(E326)=0,"",$A326+VLOOKUP(D326,Schichten!$A$5:$G$24,3,FALSE())))</f>
        <v/>
      </c>
      <c r="H326" s="28" t="str">
        <f aca="false">IF(G326="","",$A326+VLOOKUP(D326,Schichten!$A$5:$G$24,4,FALSE())+IF(VLOOKUP(D326,Schichten!$A$5:$G$24,4,FALSE())&lt;=VLOOKUP(D326,Schichten!$A$5:$G$24,3,FALSE()),1,0))</f>
        <v/>
      </c>
      <c r="I326" s="28" t="n">
        <f aca="false">IF($A326="","",IF(N(E325)&gt;0,H325,I325))</f>
        <v>46709.25</v>
      </c>
      <c r="J326" s="27" t="str">
        <f aca="false">IF(OR(G326="",I326=""),"",(G326-I326)*24)</f>
        <v/>
      </c>
      <c r="K326" s="21" t="n">
        <f aca="false">IF($A326="","",IF(N(E326)&gt;0,N(K325)+1,0))</f>
        <v>0</v>
      </c>
      <c r="L326" s="21" t="n">
        <f aca="false">IF($A326="","",IF(N(F326)&gt;0,N(L325)+1,0))</f>
        <v>0</v>
      </c>
      <c r="M326" s="21" t="str">
        <f aca="false">IF($A326="","",IF(WEEKDAY($A326,2)&lt;&gt;7,"",IF(AND(OR(G326="",N(G326)&gt;=$A326+16/24,N(H326)&lt;=$A326+6/24),OR(I326="",N(I326)&lt;=$A326+6/24)),1,0)))</f>
        <v/>
      </c>
      <c r="N326" s="26" t="str">
        <f aca="false">IF($A326="","",IF(INDEX(Muster!$C$7:$BF$7,1,MOD($A326-Einstellungen!$C$6,Einstellungen!$C$7)+1)="","-",INDEX(Muster!$C$7:$BF$7,1,MOD($A326-Einstellungen!$C$6,Einstellungen!$C$7)+1)))</f>
        <v>N</v>
      </c>
      <c r="O326" s="27" t="n">
        <f aca="false">IF($A326="","",IFERROR(VLOOKUP(N326,Schichten!$A$5:$G$24,6,FALSE()),0))</f>
        <v>8</v>
      </c>
      <c r="P326" s="27" t="n">
        <f aca="false">IF($A326="","",IFERROR(VLOOKUP(N326,Schichten!$A$5:$G$24,7,FALSE()),0))</f>
        <v>7</v>
      </c>
      <c r="Q326" s="28" t="n">
        <f aca="false">IF($A326="","",IF(N(O326)=0,"",$A326+VLOOKUP(N326,Schichten!$A$5:$G$24,3,FALSE())))</f>
        <v>46709.9166666667</v>
      </c>
      <c r="R326" s="28" t="n">
        <f aca="false">IF(Q326="","",$A326+VLOOKUP(N326,Schichten!$A$5:$G$24,4,FALSE())+IF(VLOOKUP(N326,Schichten!$A$5:$G$24,4,FALSE())&lt;=VLOOKUP(N326,Schichten!$A$5:$G$24,3,FALSE()),1,0))</f>
        <v>46710.25</v>
      </c>
      <c r="S326" s="28" t="n">
        <f aca="false">IF($A326="","",IF(N(O325)&gt;0,R325,S325))</f>
        <v>46708.9166666667</v>
      </c>
      <c r="T326" s="27" t="n">
        <f aca="false">IF(OR(Q326="",S326=""),"",(Q326-S326)*24)</f>
        <v>24</v>
      </c>
      <c r="U326" s="21" t="n">
        <f aca="false">IF($A326="","",IF(N(O326)&gt;0,N(U325)+1,0))</f>
        <v>5</v>
      </c>
      <c r="V326" s="21" t="n">
        <f aca="false">IF($A326="","",IF(N(P326)&gt;0,N(V325)+1,0))</f>
        <v>1</v>
      </c>
      <c r="W326" s="21" t="str">
        <f aca="false">IF($A326="","",IF(WEEKDAY($A326,2)&lt;&gt;7,"",IF(AND(OR(Q326="",N(Q326)&gt;=$A326+16/24,N(R326)&lt;=$A326+6/24),OR(S326="",N(S326)&lt;=$A326+6/24)),1,0)))</f>
        <v/>
      </c>
      <c r="X326" s="26" t="str">
        <f aca="false">IF($A326="","",IF(INDEX(Muster!$C$8:$BF$8,1,MOD($A326-Einstellungen!$C$6,Einstellungen!$C$7)+1)="","-",INDEX(Muster!$C$8:$BF$8,1,MOD($A326-Einstellungen!$C$6,Einstellungen!$C$7)+1)))</f>
        <v>S</v>
      </c>
      <c r="Y326" s="27" t="n">
        <f aca="false">IF($A326="","",IFERROR(VLOOKUP(X326,Schichten!$A$5:$G$24,6,FALSE()),0))</f>
        <v>8</v>
      </c>
      <c r="Z326" s="27" t="n">
        <f aca="false">IF($A326="","",IFERROR(VLOOKUP(X326,Schichten!$A$5:$G$24,7,FALSE()),0))</f>
        <v>0</v>
      </c>
      <c r="AA326" s="28" t="n">
        <f aca="false">IF($A326="","",IF(N(Y326)=0,"",$A326+VLOOKUP(X326,Schichten!$A$5:$G$24,3,FALSE())))</f>
        <v>46709.5833333333</v>
      </c>
      <c r="AB326" s="28" t="n">
        <f aca="false">IF(AA326="","",$A326+VLOOKUP(X326,Schichten!$A$5:$G$24,4,FALSE())+IF(VLOOKUP(X326,Schichten!$A$5:$G$24,4,FALSE())&lt;=VLOOKUP(X326,Schichten!$A$5:$G$24,3,FALSE()),1,0))</f>
        <v>46709.9166666667</v>
      </c>
      <c r="AC326" s="28" t="n">
        <f aca="false">IF($A326="","",IF(N(Y325)&gt;0,AB325,AC325))</f>
        <v>46708.5833333333</v>
      </c>
      <c r="AD326" s="27" t="n">
        <f aca="false">IF(OR(AA326="",AC326=""),"",(AA326-AC326)*24)</f>
        <v>24</v>
      </c>
      <c r="AE326" s="21" t="n">
        <f aca="false">IF($A326="","",IF(N(Y326)&gt;0,N(AE325)+1,0))</f>
        <v>3</v>
      </c>
      <c r="AF326" s="21" t="n">
        <f aca="false">IF($A326="","",IF(N(Z326)&gt;0,N(AF325)+1,0))</f>
        <v>0</v>
      </c>
      <c r="AG326" s="21" t="str">
        <f aca="false">IF($A326="","",IF(WEEKDAY($A326,2)&lt;&gt;7,"",IF(AND(OR(AA326="",N(AA326)&gt;=$A326+16/24,N(AB326)&lt;=$A326+6/24),OR(AC326="",N(AC326)&lt;=$A326+6/24)),1,0)))</f>
        <v/>
      </c>
      <c r="AH326" s="26" t="str">
        <f aca="false">IF($A326="","",IF(INDEX(Muster!$C$9:$BF$9,1,MOD($A326-Einstellungen!$C$6,Einstellungen!$C$7)+1)="","-",INDEX(Muster!$C$9:$BF$9,1,MOD($A326-Einstellungen!$C$6,Einstellungen!$C$7)+1)))</f>
        <v>F</v>
      </c>
      <c r="AI326" s="27" t="n">
        <f aca="false">IF($A326="","",IFERROR(VLOOKUP(AH326,Schichten!$A$5:$G$24,6,FALSE()),0))</f>
        <v>8</v>
      </c>
      <c r="AJ326" s="27" t="n">
        <f aca="false">IF($A326="","",IFERROR(VLOOKUP(AH326,Schichten!$A$5:$G$24,7,FALSE()),0))</f>
        <v>0</v>
      </c>
      <c r="AK326" s="28" t="n">
        <f aca="false">IF($A326="","",IF(N(AI326)=0,"",$A326+VLOOKUP(AH326,Schichten!$A$5:$G$24,3,FALSE())))</f>
        <v>46709.25</v>
      </c>
      <c r="AL326" s="28" t="n">
        <f aca="false">IF(AK326="","",$A326+VLOOKUP(AH326,Schichten!$A$5:$G$24,4,FALSE())+IF(VLOOKUP(AH326,Schichten!$A$5:$G$24,4,FALSE())&lt;=VLOOKUP(AH326,Schichten!$A$5:$G$24,3,FALSE()),1,0))</f>
        <v>46709.5833333333</v>
      </c>
      <c r="AM326" s="28" t="n">
        <f aca="false">IF($A326="","",IF(N(AI325)&gt;0,AL325,AM325))</f>
        <v>46707.25</v>
      </c>
      <c r="AN326" s="27" t="n">
        <f aca="false">IF(OR(AK326="",AM326=""),"",(AK326-AM326)*24)</f>
        <v>48</v>
      </c>
      <c r="AO326" s="21" t="n">
        <f aca="false">IF($A326="","",IF(N(AI326)&gt;0,N(AO325)+1,0))</f>
        <v>1</v>
      </c>
      <c r="AP326" s="21" t="n">
        <f aca="false">IF($A326="","",IF(N(AJ326)&gt;0,N(AP325)+1,0))</f>
        <v>0</v>
      </c>
      <c r="AQ326" s="21" t="str">
        <f aca="false">IF($A326="","",IF(WEEKDAY($A326,2)&lt;&gt;7,"",IF(AND(OR(AK326="",N(AK326)&gt;=$A326+16/24,N(AL326)&lt;=$A326+6/24),OR(AM326="",N(AM326)&lt;=$A326+6/24)),1,0)))</f>
        <v/>
      </c>
      <c r="AR326" s="26" t="str">
        <f aca="false">IF($A326="","",IF(INDEX(Muster!$C$10:$BF$10,1,MOD($A326-Einstellungen!$C$6,Einstellungen!$C$7)+1)="","-",INDEX(Muster!$C$10:$BF$10,1,MOD($A326-Einstellungen!$C$6,Einstellungen!$C$7)+1)))</f>
        <v>-</v>
      </c>
      <c r="AS326" s="27" t="n">
        <f aca="false">IF($A326="","",IFERROR(VLOOKUP(AR326,Schichten!$A$5:$G$24,6,FALSE()),0))</f>
        <v>0</v>
      </c>
      <c r="AT326" s="27" t="n">
        <f aca="false">IF($A326="","",IFERROR(VLOOKUP(AR326,Schichten!$A$5:$G$24,7,FALSE()),0))</f>
        <v>0</v>
      </c>
      <c r="AU326" s="28" t="str">
        <f aca="false">IF($A326="","",IF(N(AS326)=0,"",$A326+VLOOKUP(AR326,Schichten!$A$5:$G$24,3,FALSE())))</f>
        <v/>
      </c>
      <c r="AV326" s="28" t="str">
        <f aca="false">IF(AU326="","",$A326+VLOOKUP(AR326,Schichten!$A$5:$G$24,4,FALSE())+IF(VLOOKUP(AR326,Schichten!$A$5:$G$24,4,FALSE())&lt;=VLOOKUP(AR326,Schichten!$A$5:$G$24,3,FALSE()),1,0))</f>
        <v/>
      </c>
      <c r="AW326" s="28" t="str">
        <f aca="false">IF($A326="","",IF(N(AS325)&gt;0,AV325,AW325))</f>
        <v/>
      </c>
      <c r="AX326" s="27" t="str">
        <f aca="false">IF(OR(AU326="",AW326=""),"",(AU326-AW326)*24)</f>
        <v/>
      </c>
      <c r="AY326" s="21" t="n">
        <f aca="false">IF($A326="","",IF(N(AS326)&gt;0,N(AY325)+1,0))</f>
        <v>0</v>
      </c>
      <c r="AZ326" s="21" t="n">
        <f aca="false">IF($A326="","",IF(N(AT326)&gt;0,N(AZ325)+1,0))</f>
        <v>0</v>
      </c>
      <c r="BA326" s="21" t="str">
        <f aca="false">IF($A326="","",IF(WEEKDAY($A326,2)&lt;&gt;7,"",IF(AND(OR(AU326="",N(AU326)&gt;=$A326+16/24,N(AV326)&lt;=$A326+6/24),OR(AW326="",N(AW326)&lt;=$A326+6/24)),1,0)))</f>
        <v/>
      </c>
    </row>
    <row r="327" customFormat="false" ht="15" hidden="false" customHeight="false" outlineLevel="0" collapsed="false">
      <c r="A327" s="25" t="n">
        <f aca="false">IF(YEAR(DATE(Einstellungen!$C$4,1,1)+322)=Einstellungen!$C$4,DATE(Einstellungen!$C$4,1,1)+322,"")</f>
        <v>46710</v>
      </c>
      <c r="B327" s="26" t="str">
        <f aca="false">IF($A327="","",CHOOSE(WEEKDAY($A327,2),"Mo","Di","Mi","Do","Fr","Sa","So"))</f>
        <v>Fr</v>
      </c>
      <c r="C327" s="26" t="n">
        <f aca="false">IF($A327="","",MONTH($A327))</f>
        <v>11</v>
      </c>
      <c r="D327" s="26" t="str">
        <f aca="false">IF($A327="","",IF(INDEX(Muster!$C$6:$BF$6,1,MOD($A327-Einstellungen!$C$6,Einstellungen!$C$7)+1)="","-",INDEX(Muster!$C$6:$BF$6,1,MOD($A327-Einstellungen!$C$6,Einstellungen!$C$7)+1)))</f>
        <v>-</v>
      </c>
      <c r="E327" s="27" t="n">
        <f aca="false">IF($A327="","",IFERROR(VLOOKUP(D327,Schichten!$A$5:$G$24,6,FALSE()),0))</f>
        <v>0</v>
      </c>
      <c r="F327" s="27" t="n">
        <f aca="false">IF($A327="","",IFERROR(VLOOKUP(D327,Schichten!$A$5:$G$24,7,FALSE()),0))</f>
        <v>0</v>
      </c>
      <c r="G327" s="28" t="str">
        <f aca="false">IF($A327="","",IF(N(E327)=0,"",$A327+VLOOKUP(D327,Schichten!$A$5:$G$24,3,FALSE())))</f>
        <v/>
      </c>
      <c r="H327" s="28" t="str">
        <f aca="false">IF(G327="","",$A327+VLOOKUP(D327,Schichten!$A$5:$G$24,4,FALSE())+IF(VLOOKUP(D327,Schichten!$A$5:$G$24,4,FALSE())&lt;=VLOOKUP(D327,Schichten!$A$5:$G$24,3,FALSE()),1,0))</f>
        <v/>
      </c>
      <c r="I327" s="28" t="n">
        <f aca="false">IF($A327="","",IF(N(E326)&gt;0,H326,I326))</f>
        <v>46709.25</v>
      </c>
      <c r="J327" s="27" t="str">
        <f aca="false">IF(OR(G327="",I327=""),"",(G327-I327)*24)</f>
        <v/>
      </c>
      <c r="K327" s="21" t="n">
        <f aca="false">IF($A327="","",IF(N(E327)&gt;0,N(K326)+1,0))</f>
        <v>0</v>
      </c>
      <c r="L327" s="21" t="n">
        <f aca="false">IF($A327="","",IF(N(F327)&gt;0,N(L326)+1,0))</f>
        <v>0</v>
      </c>
      <c r="M327" s="21" t="str">
        <f aca="false">IF($A327="","",IF(WEEKDAY($A327,2)&lt;&gt;7,"",IF(AND(OR(G327="",N(G327)&gt;=$A327+16/24,N(H327)&lt;=$A327+6/24),OR(I327="",N(I327)&lt;=$A327+6/24)),1,0)))</f>
        <v/>
      </c>
      <c r="N327" s="26" t="str">
        <f aca="false">IF($A327="","",IF(INDEX(Muster!$C$7:$BF$7,1,MOD($A327-Einstellungen!$C$6,Einstellungen!$C$7)+1)="","-",INDEX(Muster!$C$7:$BF$7,1,MOD($A327-Einstellungen!$C$6,Einstellungen!$C$7)+1)))</f>
        <v>N</v>
      </c>
      <c r="O327" s="27" t="n">
        <f aca="false">IF($A327="","",IFERROR(VLOOKUP(N327,Schichten!$A$5:$G$24,6,FALSE()),0))</f>
        <v>8</v>
      </c>
      <c r="P327" s="27" t="n">
        <f aca="false">IF($A327="","",IFERROR(VLOOKUP(N327,Schichten!$A$5:$G$24,7,FALSE()),0))</f>
        <v>7</v>
      </c>
      <c r="Q327" s="28" t="n">
        <f aca="false">IF($A327="","",IF(N(O327)=0,"",$A327+VLOOKUP(N327,Schichten!$A$5:$G$24,3,FALSE())))</f>
        <v>46710.9166666667</v>
      </c>
      <c r="R327" s="28" t="n">
        <f aca="false">IF(Q327="","",$A327+VLOOKUP(N327,Schichten!$A$5:$G$24,4,FALSE())+IF(VLOOKUP(N327,Schichten!$A$5:$G$24,4,FALSE())&lt;=VLOOKUP(N327,Schichten!$A$5:$G$24,3,FALSE()),1,0))</f>
        <v>46711.25</v>
      </c>
      <c r="S327" s="28" t="n">
        <f aca="false">IF($A327="","",IF(N(O326)&gt;0,R326,S326))</f>
        <v>46710.25</v>
      </c>
      <c r="T327" s="27" t="n">
        <f aca="false">IF(OR(Q327="",S327=""),"",(Q327-S327)*24)</f>
        <v>16</v>
      </c>
      <c r="U327" s="21" t="n">
        <f aca="false">IF($A327="","",IF(N(O327)&gt;0,N(U326)+1,0))</f>
        <v>6</v>
      </c>
      <c r="V327" s="21" t="n">
        <f aca="false">IF($A327="","",IF(N(P327)&gt;0,N(V326)+1,0))</f>
        <v>2</v>
      </c>
      <c r="W327" s="21" t="str">
        <f aca="false">IF($A327="","",IF(WEEKDAY($A327,2)&lt;&gt;7,"",IF(AND(OR(Q327="",N(Q327)&gt;=$A327+16/24,N(R327)&lt;=$A327+6/24),OR(S327="",N(S327)&lt;=$A327+6/24)),1,0)))</f>
        <v/>
      </c>
      <c r="X327" s="26" t="str">
        <f aca="false">IF($A327="","",IF(INDEX(Muster!$C$8:$BF$8,1,MOD($A327-Einstellungen!$C$6,Einstellungen!$C$7)+1)="","-",INDEX(Muster!$C$8:$BF$8,1,MOD($A327-Einstellungen!$C$6,Einstellungen!$C$7)+1)))</f>
        <v>S</v>
      </c>
      <c r="Y327" s="27" t="n">
        <f aca="false">IF($A327="","",IFERROR(VLOOKUP(X327,Schichten!$A$5:$G$24,6,FALSE()),0))</f>
        <v>8</v>
      </c>
      <c r="Z327" s="27" t="n">
        <f aca="false">IF($A327="","",IFERROR(VLOOKUP(X327,Schichten!$A$5:$G$24,7,FALSE()),0))</f>
        <v>0</v>
      </c>
      <c r="AA327" s="28" t="n">
        <f aca="false">IF($A327="","",IF(N(Y327)=0,"",$A327+VLOOKUP(X327,Schichten!$A$5:$G$24,3,FALSE())))</f>
        <v>46710.5833333333</v>
      </c>
      <c r="AB327" s="28" t="n">
        <f aca="false">IF(AA327="","",$A327+VLOOKUP(X327,Schichten!$A$5:$G$24,4,FALSE())+IF(VLOOKUP(X327,Schichten!$A$5:$G$24,4,FALSE())&lt;=VLOOKUP(X327,Schichten!$A$5:$G$24,3,FALSE()),1,0))</f>
        <v>46710.9166666667</v>
      </c>
      <c r="AC327" s="28" t="n">
        <f aca="false">IF($A327="","",IF(N(Y326)&gt;0,AB326,AC326))</f>
        <v>46709.9166666667</v>
      </c>
      <c r="AD327" s="27" t="n">
        <f aca="false">IF(OR(AA327="",AC327=""),"",(AA327-AC327)*24)</f>
        <v>16</v>
      </c>
      <c r="AE327" s="21" t="n">
        <f aca="false">IF($A327="","",IF(N(Y327)&gt;0,N(AE326)+1,0))</f>
        <v>4</v>
      </c>
      <c r="AF327" s="21" t="n">
        <f aca="false">IF($A327="","",IF(N(Z327)&gt;0,N(AF326)+1,0))</f>
        <v>0</v>
      </c>
      <c r="AG327" s="21" t="str">
        <f aca="false">IF($A327="","",IF(WEEKDAY($A327,2)&lt;&gt;7,"",IF(AND(OR(AA327="",N(AA327)&gt;=$A327+16/24,N(AB327)&lt;=$A327+6/24),OR(AC327="",N(AC327)&lt;=$A327+6/24)),1,0)))</f>
        <v/>
      </c>
      <c r="AH327" s="26" t="str">
        <f aca="false">IF($A327="","",IF(INDEX(Muster!$C$9:$BF$9,1,MOD($A327-Einstellungen!$C$6,Einstellungen!$C$7)+1)="","-",INDEX(Muster!$C$9:$BF$9,1,MOD($A327-Einstellungen!$C$6,Einstellungen!$C$7)+1)))</f>
        <v>F</v>
      </c>
      <c r="AI327" s="27" t="n">
        <f aca="false">IF($A327="","",IFERROR(VLOOKUP(AH327,Schichten!$A$5:$G$24,6,FALSE()),0))</f>
        <v>8</v>
      </c>
      <c r="AJ327" s="27" t="n">
        <f aca="false">IF($A327="","",IFERROR(VLOOKUP(AH327,Schichten!$A$5:$G$24,7,FALSE()),0))</f>
        <v>0</v>
      </c>
      <c r="AK327" s="28" t="n">
        <f aca="false">IF($A327="","",IF(N(AI327)=0,"",$A327+VLOOKUP(AH327,Schichten!$A$5:$G$24,3,FALSE())))</f>
        <v>46710.25</v>
      </c>
      <c r="AL327" s="28" t="n">
        <f aca="false">IF(AK327="","",$A327+VLOOKUP(AH327,Schichten!$A$5:$G$24,4,FALSE())+IF(VLOOKUP(AH327,Schichten!$A$5:$G$24,4,FALSE())&lt;=VLOOKUP(AH327,Schichten!$A$5:$G$24,3,FALSE()),1,0))</f>
        <v>46710.5833333333</v>
      </c>
      <c r="AM327" s="28" t="n">
        <f aca="false">IF($A327="","",IF(N(AI326)&gt;0,AL326,AM326))</f>
        <v>46709.5833333333</v>
      </c>
      <c r="AN327" s="27" t="n">
        <f aca="false">IF(OR(AK327="",AM327=""),"",(AK327-AM327)*24)</f>
        <v>16</v>
      </c>
      <c r="AO327" s="21" t="n">
        <f aca="false">IF($A327="","",IF(N(AI327)&gt;0,N(AO326)+1,0))</f>
        <v>2</v>
      </c>
      <c r="AP327" s="21" t="n">
        <f aca="false">IF($A327="","",IF(N(AJ327)&gt;0,N(AP326)+1,0))</f>
        <v>0</v>
      </c>
      <c r="AQ327" s="21" t="str">
        <f aca="false">IF($A327="","",IF(WEEKDAY($A327,2)&lt;&gt;7,"",IF(AND(OR(AK327="",N(AK327)&gt;=$A327+16/24,N(AL327)&lt;=$A327+6/24),OR(AM327="",N(AM327)&lt;=$A327+6/24)),1,0)))</f>
        <v/>
      </c>
      <c r="AR327" s="26" t="str">
        <f aca="false">IF($A327="","",IF(INDEX(Muster!$C$10:$BF$10,1,MOD($A327-Einstellungen!$C$6,Einstellungen!$C$7)+1)="","-",INDEX(Muster!$C$10:$BF$10,1,MOD($A327-Einstellungen!$C$6,Einstellungen!$C$7)+1)))</f>
        <v>-</v>
      </c>
      <c r="AS327" s="27" t="n">
        <f aca="false">IF($A327="","",IFERROR(VLOOKUP(AR327,Schichten!$A$5:$G$24,6,FALSE()),0))</f>
        <v>0</v>
      </c>
      <c r="AT327" s="27" t="n">
        <f aca="false">IF($A327="","",IFERROR(VLOOKUP(AR327,Schichten!$A$5:$G$24,7,FALSE()),0))</f>
        <v>0</v>
      </c>
      <c r="AU327" s="28" t="str">
        <f aca="false">IF($A327="","",IF(N(AS327)=0,"",$A327+VLOOKUP(AR327,Schichten!$A$5:$G$24,3,FALSE())))</f>
        <v/>
      </c>
      <c r="AV327" s="28" t="str">
        <f aca="false">IF(AU327="","",$A327+VLOOKUP(AR327,Schichten!$A$5:$G$24,4,FALSE())+IF(VLOOKUP(AR327,Schichten!$A$5:$G$24,4,FALSE())&lt;=VLOOKUP(AR327,Schichten!$A$5:$G$24,3,FALSE()),1,0))</f>
        <v/>
      </c>
      <c r="AW327" s="28" t="str">
        <f aca="false">IF($A327="","",IF(N(AS326)&gt;0,AV326,AW326))</f>
        <v/>
      </c>
      <c r="AX327" s="27" t="str">
        <f aca="false">IF(OR(AU327="",AW327=""),"",(AU327-AW327)*24)</f>
        <v/>
      </c>
      <c r="AY327" s="21" t="n">
        <f aca="false">IF($A327="","",IF(N(AS327)&gt;0,N(AY326)+1,0))</f>
        <v>0</v>
      </c>
      <c r="AZ327" s="21" t="n">
        <f aca="false">IF($A327="","",IF(N(AT327)&gt;0,N(AZ326)+1,0))</f>
        <v>0</v>
      </c>
      <c r="BA327" s="21" t="str">
        <f aca="false">IF($A327="","",IF(WEEKDAY($A327,2)&lt;&gt;7,"",IF(AND(OR(AU327="",N(AU327)&gt;=$A327+16/24,N(AV327)&lt;=$A327+6/24),OR(AW327="",N(AW327)&lt;=$A327+6/24)),1,0)))</f>
        <v/>
      </c>
    </row>
    <row r="328" customFormat="false" ht="15" hidden="false" customHeight="false" outlineLevel="0" collapsed="false">
      <c r="A328" s="25" t="n">
        <f aca="false">IF(YEAR(DATE(Einstellungen!$C$4,1,1)+323)=Einstellungen!$C$4,DATE(Einstellungen!$C$4,1,1)+323,"")</f>
        <v>46711</v>
      </c>
      <c r="B328" s="26" t="str">
        <f aca="false">IF($A328="","",CHOOSE(WEEKDAY($A328,2),"Mo","Di","Mi","Do","Fr","Sa","So"))</f>
        <v>Sa</v>
      </c>
      <c r="C328" s="26" t="n">
        <f aca="false">IF($A328="","",MONTH($A328))</f>
        <v>11</v>
      </c>
      <c r="D328" s="26" t="str">
        <f aca="false">IF($A328="","",IF(INDEX(Muster!$C$6:$BF$6,1,MOD($A328-Einstellungen!$C$6,Einstellungen!$C$7)+1)="","-",INDEX(Muster!$C$6:$BF$6,1,MOD($A328-Einstellungen!$C$6,Einstellungen!$C$7)+1)))</f>
        <v>F</v>
      </c>
      <c r="E328" s="27" t="n">
        <f aca="false">IF($A328="","",IFERROR(VLOOKUP(D328,Schichten!$A$5:$G$24,6,FALSE()),0))</f>
        <v>8</v>
      </c>
      <c r="F328" s="27" t="n">
        <f aca="false">IF($A328="","",IFERROR(VLOOKUP(D328,Schichten!$A$5:$G$24,7,FALSE()),0))</f>
        <v>0</v>
      </c>
      <c r="G328" s="28" t="n">
        <f aca="false">IF($A328="","",IF(N(E328)=0,"",$A328+VLOOKUP(D328,Schichten!$A$5:$G$24,3,FALSE())))</f>
        <v>46711.25</v>
      </c>
      <c r="H328" s="28" t="n">
        <f aca="false">IF(G328="","",$A328+VLOOKUP(D328,Schichten!$A$5:$G$24,4,FALSE())+IF(VLOOKUP(D328,Schichten!$A$5:$G$24,4,FALSE())&lt;=VLOOKUP(D328,Schichten!$A$5:$G$24,3,FALSE()),1,0))</f>
        <v>46711.5833333333</v>
      </c>
      <c r="I328" s="28" t="n">
        <f aca="false">IF($A328="","",IF(N(E327)&gt;0,H327,I327))</f>
        <v>46709.25</v>
      </c>
      <c r="J328" s="27" t="n">
        <f aca="false">IF(OR(G328="",I328=""),"",(G328-I328)*24)</f>
        <v>48</v>
      </c>
      <c r="K328" s="21" t="n">
        <f aca="false">IF($A328="","",IF(N(E328)&gt;0,N(K327)+1,0))</f>
        <v>1</v>
      </c>
      <c r="L328" s="21" t="n">
        <f aca="false">IF($A328="","",IF(N(F328)&gt;0,N(L327)+1,0))</f>
        <v>0</v>
      </c>
      <c r="M328" s="21" t="str">
        <f aca="false">IF($A328="","",IF(WEEKDAY($A328,2)&lt;&gt;7,"",IF(AND(OR(G328="",N(G328)&gt;=$A328+16/24,N(H328)&lt;=$A328+6/24),OR(I328="",N(I328)&lt;=$A328+6/24)),1,0)))</f>
        <v/>
      </c>
      <c r="N328" s="26" t="str">
        <f aca="false">IF($A328="","",IF(INDEX(Muster!$C$7:$BF$7,1,MOD($A328-Einstellungen!$C$6,Einstellungen!$C$7)+1)="","-",INDEX(Muster!$C$7:$BF$7,1,MOD($A328-Einstellungen!$C$6,Einstellungen!$C$7)+1)))</f>
        <v>-</v>
      </c>
      <c r="O328" s="27" t="n">
        <f aca="false">IF($A328="","",IFERROR(VLOOKUP(N328,Schichten!$A$5:$G$24,6,FALSE()),0))</f>
        <v>0</v>
      </c>
      <c r="P328" s="27" t="n">
        <f aca="false">IF($A328="","",IFERROR(VLOOKUP(N328,Schichten!$A$5:$G$24,7,FALSE()),0))</f>
        <v>0</v>
      </c>
      <c r="Q328" s="28" t="str">
        <f aca="false">IF($A328="","",IF(N(O328)=0,"",$A328+VLOOKUP(N328,Schichten!$A$5:$G$24,3,FALSE())))</f>
        <v/>
      </c>
      <c r="R328" s="28" t="str">
        <f aca="false">IF(Q328="","",$A328+VLOOKUP(N328,Schichten!$A$5:$G$24,4,FALSE())+IF(VLOOKUP(N328,Schichten!$A$5:$G$24,4,FALSE())&lt;=VLOOKUP(N328,Schichten!$A$5:$G$24,3,FALSE()),1,0))</f>
        <v/>
      </c>
      <c r="S328" s="28" t="n">
        <f aca="false">IF($A328="","",IF(N(O327)&gt;0,R327,S327))</f>
        <v>46711.25</v>
      </c>
      <c r="T328" s="27" t="str">
        <f aca="false">IF(OR(Q328="",S328=""),"",(Q328-S328)*24)</f>
        <v/>
      </c>
      <c r="U328" s="21" t="n">
        <f aca="false">IF($A328="","",IF(N(O328)&gt;0,N(U327)+1,0))</f>
        <v>0</v>
      </c>
      <c r="V328" s="21" t="n">
        <f aca="false">IF($A328="","",IF(N(P328)&gt;0,N(V327)+1,0))</f>
        <v>0</v>
      </c>
      <c r="W328" s="21" t="str">
        <f aca="false">IF($A328="","",IF(WEEKDAY($A328,2)&lt;&gt;7,"",IF(AND(OR(Q328="",N(Q328)&gt;=$A328+16/24,N(R328)&lt;=$A328+6/24),OR(S328="",N(S328)&lt;=$A328+6/24)),1,0)))</f>
        <v/>
      </c>
      <c r="X328" s="26" t="str">
        <f aca="false">IF($A328="","",IF(INDEX(Muster!$C$8:$BF$8,1,MOD($A328-Einstellungen!$C$6,Einstellungen!$C$7)+1)="","-",INDEX(Muster!$C$8:$BF$8,1,MOD($A328-Einstellungen!$C$6,Einstellungen!$C$7)+1)))</f>
        <v>N</v>
      </c>
      <c r="Y328" s="27" t="n">
        <f aca="false">IF($A328="","",IFERROR(VLOOKUP(X328,Schichten!$A$5:$G$24,6,FALSE()),0))</f>
        <v>8</v>
      </c>
      <c r="Z328" s="27" t="n">
        <f aca="false">IF($A328="","",IFERROR(VLOOKUP(X328,Schichten!$A$5:$G$24,7,FALSE()),0))</f>
        <v>7</v>
      </c>
      <c r="AA328" s="28" t="n">
        <f aca="false">IF($A328="","",IF(N(Y328)=0,"",$A328+VLOOKUP(X328,Schichten!$A$5:$G$24,3,FALSE())))</f>
        <v>46711.9166666667</v>
      </c>
      <c r="AB328" s="28" t="n">
        <f aca="false">IF(AA328="","",$A328+VLOOKUP(X328,Schichten!$A$5:$G$24,4,FALSE())+IF(VLOOKUP(X328,Schichten!$A$5:$G$24,4,FALSE())&lt;=VLOOKUP(X328,Schichten!$A$5:$G$24,3,FALSE()),1,0))</f>
        <v>46712.25</v>
      </c>
      <c r="AC328" s="28" t="n">
        <f aca="false">IF($A328="","",IF(N(Y327)&gt;0,AB327,AC327))</f>
        <v>46710.9166666667</v>
      </c>
      <c r="AD328" s="27" t="n">
        <f aca="false">IF(OR(AA328="",AC328=""),"",(AA328-AC328)*24)</f>
        <v>24</v>
      </c>
      <c r="AE328" s="21" t="n">
        <f aca="false">IF($A328="","",IF(N(Y328)&gt;0,N(AE327)+1,0))</f>
        <v>5</v>
      </c>
      <c r="AF328" s="21" t="n">
        <f aca="false">IF($A328="","",IF(N(Z328)&gt;0,N(AF327)+1,0))</f>
        <v>1</v>
      </c>
      <c r="AG328" s="21" t="str">
        <f aca="false">IF($A328="","",IF(WEEKDAY($A328,2)&lt;&gt;7,"",IF(AND(OR(AA328="",N(AA328)&gt;=$A328+16/24,N(AB328)&lt;=$A328+6/24),OR(AC328="",N(AC328)&lt;=$A328+6/24)),1,0)))</f>
        <v/>
      </c>
      <c r="AH328" s="26" t="str">
        <f aca="false">IF($A328="","",IF(INDEX(Muster!$C$9:$BF$9,1,MOD($A328-Einstellungen!$C$6,Einstellungen!$C$7)+1)="","-",INDEX(Muster!$C$9:$BF$9,1,MOD($A328-Einstellungen!$C$6,Einstellungen!$C$7)+1)))</f>
        <v>S</v>
      </c>
      <c r="AI328" s="27" t="n">
        <f aca="false">IF($A328="","",IFERROR(VLOOKUP(AH328,Schichten!$A$5:$G$24,6,FALSE()),0))</f>
        <v>8</v>
      </c>
      <c r="AJ328" s="27" t="n">
        <f aca="false">IF($A328="","",IFERROR(VLOOKUP(AH328,Schichten!$A$5:$G$24,7,FALSE()),0))</f>
        <v>0</v>
      </c>
      <c r="AK328" s="28" t="n">
        <f aca="false">IF($A328="","",IF(N(AI328)=0,"",$A328+VLOOKUP(AH328,Schichten!$A$5:$G$24,3,FALSE())))</f>
        <v>46711.5833333333</v>
      </c>
      <c r="AL328" s="28" t="n">
        <f aca="false">IF(AK328="","",$A328+VLOOKUP(AH328,Schichten!$A$5:$G$24,4,FALSE())+IF(VLOOKUP(AH328,Schichten!$A$5:$G$24,4,FALSE())&lt;=VLOOKUP(AH328,Schichten!$A$5:$G$24,3,FALSE()),1,0))</f>
        <v>46711.9166666667</v>
      </c>
      <c r="AM328" s="28" t="n">
        <f aca="false">IF($A328="","",IF(N(AI327)&gt;0,AL327,AM327))</f>
        <v>46710.5833333333</v>
      </c>
      <c r="AN328" s="27" t="n">
        <f aca="false">IF(OR(AK328="",AM328=""),"",(AK328-AM328)*24)</f>
        <v>24</v>
      </c>
      <c r="AO328" s="21" t="n">
        <f aca="false">IF($A328="","",IF(N(AI328)&gt;0,N(AO327)+1,0))</f>
        <v>3</v>
      </c>
      <c r="AP328" s="21" t="n">
        <f aca="false">IF($A328="","",IF(N(AJ328)&gt;0,N(AP327)+1,0))</f>
        <v>0</v>
      </c>
      <c r="AQ328" s="21" t="str">
        <f aca="false">IF($A328="","",IF(WEEKDAY($A328,2)&lt;&gt;7,"",IF(AND(OR(AK328="",N(AK328)&gt;=$A328+16/24,N(AL328)&lt;=$A328+6/24),OR(AM328="",N(AM328)&lt;=$A328+6/24)),1,0)))</f>
        <v/>
      </c>
      <c r="AR328" s="26" t="str">
        <f aca="false">IF($A328="","",IF(INDEX(Muster!$C$10:$BF$10,1,MOD($A328-Einstellungen!$C$6,Einstellungen!$C$7)+1)="","-",INDEX(Muster!$C$10:$BF$10,1,MOD($A328-Einstellungen!$C$6,Einstellungen!$C$7)+1)))</f>
        <v>-</v>
      </c>
      <c r="AS328" s="27" t="n">
        <f aca="false">IF($A328="","",IFERROR(VLOOKUP(AR328,Schichten!$A$5:$G$24,6,FALSE()),0))</f>
        <v>0</v>
      </c>
      <c r="AT328" s="27" t="n">
        <f aca="false">IF($A328="","",IFERROR(VLOOKUP(AR328,Schichten!$A$5:$G$24,7,FALSE()),0))</f>
        <v>0</v>
      </c>
      <c r="AU328" s="28" t="str">
        <f aca="false">IF($A328="","",IF(N(AS328)=0,"",$A328+VLOOKUP(AR328,Schichten!$A$5:$G$24,3,FALSE())))</f>
        <v/>
      </c>
      <c r="AV328" s="28" t="str">
        <f aca="false">IF(AU328="","",$A328+VLOOKUP(AR328,Schichten!$A$5:$G$24,4,FALSE())+IF(VLOOKUP(AR328,Schichten!$A$5:$G$24,4,FALSE())&lt;=VLOOKUP(AR328,Schichten!$A$5:$G$24,3,FALSE()),1,0))</f>
        <v/>
      </c>
      <c r="AW328" s="28" t="str">
        <f aca="false">IF($A328="","",IF(N(AS327)&gt;0,AV327,AW327))</f>
        <v/>
      </c>
      <c r="AX328" s="27" t="str">
        <f aca="false">IF(OR(AU328="",AW328=""),"",(AU328-AW328)*24)</f>
        <v/>
      </c>
      <c r="AY328" s="21" t="n">
        <f aca="false">IF($A328="","",IF(N(AS328)&gt;0,N(AY327)+1,0))</f>
        <v>0</v>
      </c>
      <c r="AZ328" s="21" t="n">
        <f aca="false">IF($A328="","",IF(N(AT328)&gt;0,N(AZ327)+1,0))</f>
        <v>0</v>
      </c>
      <c r="BA328" s="21" t="str">
        <f aca="false">IF($A328="","",IF(WEEKDAY($A328,2)&lt;&gt;7,"",IF(AND(OR(AU328="",N(AU328)&gt;=$A328+16/24,N(AV328)&lt;=$A328+6/24),OR(AW328="",N(AW328)&lt;=$A328+6/24)),1,0)))</f>
        <v/>
      </c>
    </row>
    <row r="329" customFormat="false" ht="15" hidden="false" customHeight="false" outlineLevel="0" collapsed="false">
      <c r="A329" s="25" t="n">
        <f aca="false">IF(YEAR(DATE(Einstellungen!$C$4,1,1)+324)=Einstellungen!$C$4,DATE(Einstellungen!$C$4,1,1)+324,"")</f>
        <v>46712</v>
      </c>
      <c r="B329" s="26" t="str">
        <f aca="false">IF($A329="","",CHOOSE(WEEKDAY($A329,2),"Mo","Di","Mi","Do","Fr","Sa","So"))</f>
        <v>So</v>
      </c>
      <c r="C329" s="26" t="n">
        <f aca="false">IF($A329="","",MONTH($A329))</f>
        <v>11</v>
      </c>
      <c r="D329" s="26" t="str">
        <f aca="false">IF($A329="","",IF(INDEX(Muster!$C$6:$BF$6,1,MOD($A329-Einstellungen!$C$6,Einstellungen!$C$7)+1)="","-",INDEX(Muster!$C$6:$BF$6,1,MOD($A329-Einstellungen!$C$6,Einstellungen!$C$7)+1)))</f>
        <v>F</v>
      </c>
      <c r="E329" s="27" t="n">
        <f aca="false">IF($A329="","",IFERROR(VLOOKUP(D329,Schichten!$A$5:$G$24,6,FALSE()),0))</f>
        <v>8</v>
      </c>
      <c r="F329" s="27" t="n">
        <f aca="false">IF($A329="","",IFERROR(VLOOKUP(D329,Schichten!$A$5:$G$24,7,FALSE()),0))</f>
        <v>0</v>
      </c>
      <c r="G329" s="28" t="n">
        <f aca="false">IF($A329="","",IF(N(E329)=0,"",$A329+VLOOKUP(D329,Schichten!$A$5:$G$24,3,FALSE())))</f>
        <v>46712.25</v>
      </c>
      <c r="H329" s="28" t="n">
        <f aca="false">IF(G329="","",$A329+VLOOKUP(D329,Schichten!$A$5:$G$24,4,FALSE())+IF(VLOOKUP(D329,Schichten!$A$5:$G$24,4,FALSE())&lt;=VLOOKUP(D329,Schichten!$A$5:$G$24,3,FALSE()),1,0))</f>
        <v>46712.5833333333</v>
      </c>
      <c r="I329" s="28" t="n">
        <f aca="false">IF($A329="","",IF(N(E328)&gt;0,H328,I328))</f>
        <v>46711.5833333333</v>
      </c>
      <c r="J329" s="27" t="n">
        <f aca="false">IF(OR(G329="",I329=""),"",(G329-I329)*24)</f>
        <v>16</v>
      </c>
      <c r="K329" s="21" t="n">
        <f aca="false">IF($A329="","",IF(N(E329)&gt;0,N(K328)+1,0))</f>
        <v>2</v>
      </c>
      <c r="L329" s="21" t="n">
        <f aca="false">IF($A329="","",IF(N(F329)&gt;0,N(L328)+1,0))</f>
        <v>0</v>
      </c>
      <c r="M329" s="21" t="n">
        <f aca="false">IF($A329="","",IF(WEEKDAY($A329,2)&lt;&gt;7,"",IF(AND(OR(G329="",N(G329)&gt;=$A329+16/24,N(H329)&lt;=$A329+6/24),OR(I329="",N(I329)&lt;=$A329+6/24)),1,0)))</f>
        <v>0</v>
      </c>
      <c r="N329" s="26" t="str">
        <f aca="false">IF($A329="","",IF(INDEX(Muster!$C$7:$BF$7,1,MOD($A329-Einstellungen!$C$6,Einstellungen!$C$7)+1)="","-",INDEX(Muster!$C$7:$BF$7,1,MOD($A329-Einstellungen!$C$6,Einstellungen!$C$7)+1)))</f>
        <v>-</v>
      </c>
      <c r="O329" s="27" t="n">
        <f aca="false">IF($A329="","",IFERROR(VLOOKUP(N329,Schichten!$A$5:$G$24,6,FALSE()),0))</f>
        <v>0</v>
      </c>
      <c r="P329" s="27" t="n">
        <f aca="false">IF($A329="","",IFERROR(VLOOKUP(N329,Schichten!$A$5:$G$24,7,FALSE()),0))</f>
        <v>0</v>
      </c>
      <c r="Q329" s="28" t="str">
        <f aca="false">IF($A329="","",IF(N(O329)=0,"",$A329+VLOOKUP(N329,Schichten!$A$5:$G$24,3,FALSE())))</f>
        <v/>
      </c>
      <c r="R329" s="28" t="str">
        <f aca="false">IF(Q329="","",$A329+VLOOKUP(N329,Schichten!$A$5:$G$24,4,FALSE())+IF(VLOOKUP(N329,Schichten!$A$5:$G$24,4,FALSE())&lt;=VLOOKUP(N329,Schichten!$A$5:$G$24,3,FALSE()),1,0))</f>
        <v/>
      </c>
      <c r="S329" s="28" t="n">
        <f aca="false">IF($A329="","",IF(N(O328)&gt;0,R328,S328))</f>
        <v>46711.25</v>
      </c>
      <c r="T329" s="27" t="str">
        <f aca="false">IF(OR(Q329="",S329=""),"",(Q329-S329)*24)</f>
        <v/>
      </c>
      <c r="U329" s="21" t="n">
        <f aca="false">IF($A329="","",IF(N(O329)&gt;0,N(U328)+1,0))</f>
        <v>0</v>
      </c>
      <c r="V329" s="21" t="n">
        <f aca="false">IF($A329="","",IF(N(P329)&gt;0,N(V328)+1,0))</f>
        <v>0</v>
      </c>
      <c r="W329" s="21" t="n">
        <f aca="false">IF($A329="","",IF(WEEKDAY($A329,2)&lt;&gt;7,"",IF(AND(OR(Q329="",N(Q329)&gt;=$A329+16/24,N(R329)&lt;=$A329+6/24),OR(S329="",N(S329)&lt;=$A329+6/24)),1,0)))</f>
        <v>1</v>
      </c>
      <c r="X329" s="26" t="str">
        <f aca="false">IF($A329="","",IF(INDEX(Muster!$C$8:$BF$8,1,MOD($A329-Einstellungen!$C$6,Einstellungen!$C$7)+1)="","-",INDEX(Muster!$C$8:$BF$8,1,MOD($A329-Einstellungen!$C$6,Einstellungen!$C$7)+1)))</f>
        <v>N</v>
      </c>
      <c r="Y329" s="27" t="n">
        <f aca="false">IF($A329="","",IFERROR(VLOOKUP(X329,Schichten!$A$5:$G$24,6,FALSE()),0))</f>
        <v>8</v>
      </c>
      <c r="Z329" s="27" t="n">
        <f aca="false">IF($A329="","",IFERROR(VLOOKUP(X329,Schichten!$A$5:$G$24,7,FALSE()),0))</f>
        <v>7</v>
      </c>
      <c r="AA329" s="28" t="n">
        <f aca="false">IF($A329="","",IF(N(Y329)=0,"",$A329+VLOOKUP(X329,Schichten!$A$5:$G$24,3,FALSE())))</f>
        <v>46712.9166666667</v>
      </c>
      <c r="AB329" s="28" t="n">
        <f aca="false">IF(AA329="","",$A329+VLOOKUP(X329,Schichten!$A$5:$G$24,4,FALSE())+IF(VLOOKUP(X329,Schichten!$A$5:$G$24,4,FALSE())&lt;=VLOOKUP(X329,Schichten!$A$5:$G$24,3,FALSE()),1,0))</f>
        <v>46713.25</v>
      </c>
      <c r="AC329" s="28" t="n">
        <f aca="false">IF($A329="","",IF(N(Y328)&gt;0,AB328,AC328))</f>
        <v>46712.25</v>
      </c>
      <c r="AD329" s="27" t="n">
        <f aca="false">IF(OR(AA329="",AC329=""),"",(AA329-AC329)*24)</f>
        <v>16</v>
      </c>
      <c r="AE329" s="21" t="n">
        <f aca="false">IF($A329="","",IF(N(Y329)&gt;0,N(AE328)+1,0))</f>
        <v>6</v>
      </c>
      <c r="AF329" s="21" t="n">
        <f aca="false">IF($A329="","",IF(N(Z329)&gt;0,N(AF328)+1,0))</f>
        <v>2</v>
      </c>
      <c r="AG329" s="21" t="n">
        <f aca="false">IF($A329="","",IF(WEEKDAY($A329,2)&lt;&gt;7,"",IF(AND(OR(AA329="",N(AA329)&gt;=$A329+16/24,N(AB329)&lt;=$A329+6/24),OR(AC329="",N(AC329)&lt;=$A329+6/24)),1,0)))</f>
        <v>1</v>
      </c>
      <c r="AH329" s="26" t="str">
        <f aca="false">IF($A329="","",IF(INDEX(Muster!$C$9:$BF$9,1,MOD($A329-Einstellungen!$C$6,Einstellungen!$C$7)+1)="","-",INDEX(Muster!$C$9:$BF$9,1,MOD($A329-Einstellungen!$C$6,Einstellungen!$C$7)+1)))</f>
        <v>S</v>
      </c>
      <c r="AI329" s="27" t="n">
        <f aca="false">IF($A329="","",IFERROR(VLOOKUP(AH329,Schichten!$A$5:$G$24,6,FALSE()),0))</f>
        <v>8</v>
      </c>
      <c r="AJ329" s="27" t="n">
        <f aca="false">IF($A329="","",IFERROR(VLOOKUP(AH329,Schichten!$A$5:$G$24,7,FALSE()),0))</f>
        <v>0</v>
      </c>
      <c r="AK329" s="28" t="n">
        <f aca="false">IF($A329="","",IF(N(AI329)=0,"",$A329+VLOOKUP(AH329,Schichten!$A$5:$G$24,3,FALSE())))</f>
        <v>46712.5833333333</v>
      </c>
      <c r="AL329" s="28" t="n">
        <f aca="false">IF(AK329="","",$A329+VLOOKUP(AH329,Schichten!$A$5:$G$24,4,FALSE())+IF(VLOOKUP(AH329,Schichten!$A$5:$G$24,4,FALSE())&lt;=VLOOKUP(AH329,Schichten!$A$5:$G$24,3,FALSE()),1,0))</f>
        <v>46712.9166666667</v>
      </c>
      <c r="AM329" s="28" t="n">
        <f aca="false">IF($A329="","",IF(N(AI328)&gt;0,AL328,AM328))</f>
        <v>46711.9166666667</v>
      </c>
      <c r="AN329" s="27" t="n">
        <f aca="false">IF(OR(AK329="",AM329=""),"",(AK329-AM329)*24)</f>
        <v>16</v>
      </c>
      <c r="AO329" s="21" t="n">
        <f aca="false">IF($A329="","",IF(N(AI329)&gt;0,N(AO328)+1,0))</f>
        <v>4</v>
      </c>
      <c r="AP329" s="21" t="n">
        <f aca="false">IF($A329="","",IF(N(AJ329)&gt;0,N(AP328)+1,0))</f>
        <v>0</v>
      </c>
      <c r="AQ329" s="21" t="n">
        <f aca="false">IF($A329="","",IF(WEEKDAY($A329,2)&lt;&gt;7,"",IF(AND(OR(AK329="",N(AK329)&gt;=$A329+16/24,N(AL329)&lt;=$A329+6/24),OR(AM329="",N(AM329)&lt;=$A329+6/24)),1,0)))</f>
        <v>0</v>
      </c>
      <c r="AR329" s="26" t="str">
        <f aca="false">IF($A329="","",IF(INDEX(Muster!$C$10:$BF$10,1,MOD($A329-Einstellungen!$C$6,Einstellungen!$C$7)+1)="","-",INDEX(Muster!$C$10:$BF$10,1,MOD($A329-Einstellungen!$C$6,Einstellungen!$C$7)+1)))</f>
        <v>-</v>
      </c>
      <c r="AS329" s="27" t="n">
        <f aca="false">IF($A329="","",IFERROR(VLOOKUP(AR329,Schichten!$A$5:$G$24,6,FALSE()),0))</f>
        <v>0</v>
      </c>
      <c r="AT329" s="27" t="n">
        <f aca="false">IF($A329="","",IFERROR(VLOOKUP(AR329,Schichten!$A$5:$G$24,7,FALSE()),0))</f>
        <v>0</v>
      </c>
      <c r="AU329" s="28" t="str">
        <f aca="false">IF($A329="","",IF(N(AS329)=0,"",$A329+VLOOKUP(AR329,Schichten!$A$5:$G$24,3,FALSE())))</f>
        <v/>
      </c>
      <c r="AV329" s="28" t="str">
        <f aca="false">IF(AU329="","",$A329+VLOOKUP(AR329,Schichten!$A$5:$G$24,4,FALSE())+IF(VLOOKUP(AR329,Schichten!$A$5:$G$24,4,FALSE())&lt;=VLOOKUP(AR329,Schichten!$A$5:$G$24,3,FALSE()),1,0))</f>
        <v/>
      </c>
      <c r="AW329" s="28" t="str">
        <f aca="false">IF($A329="","",IF(N(AS328)&gt;0,AV328,AW328))</f>
        <v/>
      </c>
      <c r="AX329" s="27" t="str">
        <f aca="false">IF(OR(AU329="",AW329=""),"",(AU329-AW329)*24)</f>
        <v/>
      </c>
      <c r="AY329" s="21" t="n">
        <f aca="false">IF($A329="","",IF(N(AS329)&gt;0,N(AY328)+1,0))</f>
        <v>0</v>
      </c>
      <c r="AZ329" s="21" t="n">
        <f aca="false">IF($A329="","",IF(N(AT329)&gt;0,N(AZ328)+1,0))</f>
        <v>0</v>
      </c>
      <c r="BA329" s="21" t="n">
        <f aca="false">IF($A329="","",IF(WEEKDAY($A329,2)&lt;&gt;7,"",IF(AND(OR(AU329="",N(AU329)&gt;=$A329+16/24,N(AV329)&lt;=$A329+6/24),OR(AW329="",N(AW329)&lt;=$A329+6/24)),1,0)))</f>
        <v>1</v>
      </c>
    </row>
    <row r="330" customFormat="false" ht="15" hidden="false" customHeight="false" outlineLevel="0" collapsed="false">
      <c r="A330" s="25" t="n">
        <f aca="false">IF(YEAR(DATE(Einstellungen!$C$4,1,1)+325)=Einstellungen!$C$4,DATE(Einstellungen!$C$4,1,1)+325,"")</f>
        <v>46713</v>
      </c>
      <c r="B330" s="26" t="str">
        <f aca="false">IF($A330="","",CHOOSE(WEEKDAY($A330,2),"Mo","Di","Mi","Do","Fr","Sa","So"))</f>
        <v>Mo</v>
      </c>
      <c r="C330" s="26" t="n">
        <f aca="false">IF($A330="","",MONTH($A330))</f>
        <v>11</v>
      </c>
      <c r="D330" s="26" t="str">
        <f aca="false">IF($A330="","",IF(INDEX(Muster!$C$6:$BF$6,1,MOD($A330-Einstellungen!$C$6,Einstellungen!$C$7)+1)="","-",INDEX(Muster!$C$6:$BF$6,1,MOD($A330-Einstellungen!$C$6,Einstellungen!$C$7)+1)))</f>
        <v>S</v>
      </c>
      <c r="E330" s="27" t="n">
        <f aca="false">IF($A330="","",IFERROR(VLOOKUP(D330,Schichten!$A$5:$G$24,6,FALSE()),0))</f>
        <v>8</v>
      </c>
      <c r="F330" s="27" t="n">
        <f aca="false">IF($A330="","",IFERROR(VLOOKUP(D330,Schichten!$A$5:$G$24,7,FALSE()),0))</f>
        <v>0</v>
      </c>
      <c r="G330" s="28" t="n">
        <f aca="false">IF($A330="","",IF(N(E330)=0,"",$A330+VLOOKUP(D330,Schichten!$A$5:$G$24,3,FALSE())))</f>
        <v>46713.5833333333</v>
      </c>
      <c r="H330" s="28" t="n">
        <f aca="false">IF(G330="","",$A330+VLOOKUP(D330,Schichten!$A$5:$G$24,4,FALSE())+IF(VLOOKUP(D330,Schichten!$A$5:$G$24,4,FALSE())&lt;=VLOOKUP(D330,Schichten!$A$5:$G$24,3,FALSE()),1,0))</f>
        <v>46713.9166666667</v>
      </c>
      <c r="I330" s="28" t="n">
        <f aca="false">IF($A330="","",IF(N(E329)&gt;0,H329,I329))</f>
        <v>46712.5833333333</v>
      </c>
      <c r="J330" s="27" t="n">
        <f aca="false">IF(OR(G330="",I330=""),"",(G330-I330)*24)</f>
        <v>24</v>
      </c>
      <c r="K330" s="21" t="n">
        <f aca="false">IF($A330="","",IF(N(E330)&gt;0,N(K329)+1,0))</f>
        <v>3</v>
      </c>
      <c r="L330" s="21" t="n">
        <f aca="false">IF($A330="","",IF(N(F330)&gt;0,N(L329)+1,0))</f>
        <v>0</v>
      </c>
      <c r="M330" s="21" t="str">
        <f aca="false">IF($A330="","",IF(WEEKDAY($A330,2)&lt;&gt;7,"",IF(AND(OR(G330="",N(G330)&gt;=$A330+16/24,N(H330)&lt;=$A330+6/24),OR(I330="",N(I330)&lt;=$A330+6/24)),1,0)))</f>
        <v/>
      </c>
      <c r="N330" s="26" t="str">
        <f aca="false">IF($A330="","",IF(INDEX(Muster!$C$7:$BF$7,1,MOD($A330-Einstellungen!$C$6,Einstellungen!$C$7)+1)="","-",INDEX(Muster!$C$7:$BF$7,1,MOD($A330-Einstellungen!$C$6,Einstellungen!$C$7)+1)))</f>
        <v>F</v>
      </c>
      <c r="O330" s="27" t="n">
        <f aca="false">IF($A330="","",IFERROR(VLOOKUP(N330,Schichten!$A$5:$G$24,6,FALSE()),0))</f>
        <v>8</v>
      </c>
      <c r="P330" s="27" t="n">
        <f aca="false">IF($A330="","",IFERROR(VLOOKUP(N330,Schichten!$A$5:$G$24,7,FALSE()),0))</f>
        <v>0</v>
      </c>
      <c r="Q330" s="28" t="n">
        <f aca="false">IF($A330="","",IF(N(O330)=0,"",$A330+VLOOKUP(N330,Schichten!$A$5:$G$24,3,FALSE())))</f>
        <v>46713.25</v>
      </c>
      <c r="R330" s="28" t="n">
        <f aca="false">IF(Q330="","",$A330+VLOOKUP(N330,Schichten!$A$5:$G$24,4,FALSE())+IF(VLOOKUP(N330,Schichten!$A$5:$G$24,4,FALSE())&lt;=VLOOKUP(N330,Schichten!$A$5:$G$24,3,FALSE()),1,0))</f>
        <v>46713.5833333333</v>
      </c>
      <c r="S330" s="28" t="n">
        <f aca="false">IF($A330="","",IF(N(O329)&gt;0,R329,S329))</f>
        <v>46711.25</v>
      </c>
      <c r="T330" s="27" t="n">
        <f aca="false">IF(OR(Q330="",S330=""),"",(Q330-S330)*24)</f>
        <v>48</v>
      </c>
      <c r="U330" s="21" t="n">
        <f aca="false">IF($A330="","",IF(N(O330)&gt;0,N(U329)+1,0))</f>
        <v>1</v>
      </c>
      <c r="V330" s="21" t="n">
        <f aca="false">IF($A330="","",IF(N(P330)&gt;0,N(V329)+1,0))</f>
        <v>0</v>
      </c>
      <c r="W330" s="21" t="str">
        <f aca="false">IF($A330="","",IF(WEEKDAY($A330,2)&lt;&gt;7,"",IF(AND(OR(Q330="",N(Q330)&gt;=$A330+16/24,N(R330)&lt;=$A330+6/24),OR(S330="",N(S330)&lt;=$A330+6/24)),1,0)))</f>
        <v/>
      </c>
      <c r="X330" s="26" t="str">
        <f aca="false">IF($A330="","",IF(INDEX(Muster!$C$8:$BF$8,1,MOD($A330-Einstellungen!$C$6,Einstellungen!$C$7)+1)="","-",INDEX(Muster!$C$8:$BF$8,1,MOD($A330-Einstellungen!$C$6,Einstellungen!$C$7)+1)))</f>
        <v>-</v>
      </c>
      <c r="Y330" s="27" t="n">
        <f aca="false">IF($A330="","",IFERROR(VLOOKUP(X330,Schichten!$A$5:$G$24,6,FALSE()),0))</f>
        <v>0</v>
      </c>
      <c r="Z330" s="27" t="n">
        <f aca="false">IF($A330="","",IFERROR(VLOOKUP(X330,Schichten!$A$5:$G$24,7,FALSE()),0))</f>
        <v>0</v>
      </c>
      <c r="AA330" s="28" t="str">
        <f aca="false">IF($A330="","",IF(N(Y330)=0,"",$A330+VLOOKUP(X330,Schichten!$A$5:$G$24,3,FALSE())))</f>
        <v/>
      </c>
      <c r="AB330" s="28" t="str">
        <f aca="false">IF(AA330="","",$A330+VLOOKUP(X330,Schichten!$A$5:$G$24,4,FALSE())+IF(VLOOKUP(X330,Schichten!$A$5:$G$24,4,FALSE())&lt;=VLOOKUP(X330,Schichten!$A$5:$G$24,3,FALSE()),1,0))</f>
        <v/>
      </c>
      <c r="AC330" s="28" t="n">
        <f aca="false">IF($A330="","",IF(N(Y329)&gt;0,AB329,AC329))</f>
        <v>46713.25</v>
      </c>
      <c r="AD330" s="27" t="str">
        <f aca="false">IF(OR(AA330="",AC330=""),"",(AA330-AC330)*24)</f>
        <v/>
      </c>
      <c r="AE330" s="21" t="n">
        <f aca="false">IF($A330="","",IF(N(Y330)&gt;0,N(AE329)+1,0))</f>
        <v>0</v>
      </c>
      <c r="AF330" s="21" t="n">
        <f aca="false">IF($A330="","",IF(N(Z330)&gt;0,N(AF329)+1,0))</f>
        <v>0</v>
      </c>
      <c r="AG330" s="21" t="str">
        <f aca="false">IF($A330="","",IF(WEEKDAY($A330,2)&lt;&gt;7,"",IF(AND(OR(AA330="",N(AA330)&gt;=$A330+16/24,N(AB330)&lt;=$A330+6/24),OR(AC330="",N(AC330)&lt;=$A330+6/24)),1,0)))</f>
        <v/>
      </c>
      <c r="AH330" s="26" t="str">
        <f aca="false">IF($A330="","",IF(INDEX(Muster!$C$9:$BF$9,1,MOD($A330-Einstellungen!$C$6,Einstellungen!$C$7)+1)="","-",INDEX(Muster!$C$9:$BF$9,1,MOD($A330-Einstellungen!$C$6,Einstellungen!$C$7)+1)))</f>
        <v>N</v>
      </c>
      <c r="AI330" s="27" t="n">
        <f aca="false">IF($A330="","",IFERROR(VLOOKUP(AH330,Schichten!$A$5:$G$24,6,FALSE()),0))</f>
        <v>8</v>
      </c>
      <c r="AJ330" s="27" t="n">
        <f aca="false">IF($A330="","",IFERROR(VLOOKUP(AH330,Schichten!$A$5:$G$24,7,FALSE()),0))</f>
        <v>7</v>
      </c>
      <c r="AK330" s="28" t="n">
        <f aca="false">IF($A330="","",IF(N(AI330)=0,"",$A330+VLOOKUP(AH330,Schichten!$A$5:$G$24,3,FALSE())))</f>
        <v>46713.9166666667</v>
      </c>
      <c r="AL330" s="28" t="n">
        <f aca="false">IF(AK330="","",$A330+VLOOKUP(AH330,Schichten!$A$5:$G$24,4,FALSE())+IF(VLOOKUP(AH330,Schichten!$A$5:$G$24,4,FALSE())&lt;=VLOOKUP(AH330,Schichten!$A$5:$G$24,3,FALSE()),1,0))</f>
        <v>46714.25</v>
      </c>
      <c r="AM330" s="28" t="n">
        <f aca="false">IF($A330="","",IF(N(AI329)&gt;0,AL329,AM329))</f>
        <v>46712.9166666667</v>
      </c>
      <c r="AN330" s="27" t="n">
        <f aca="false">IF(OR(AK330="",AM330=""),"",(AK330-AM330)*24)</f>
        <v>24</v>
      </c>
      <c r="AO330" s="21" t="n">
        <f aca="false">IF($A330="","",IF(N(AI330)&gt;0,N(AO329)+1,0))</f>
        <v>5</v>
      </c>
      <c r="AP330" s="21" t="n">
        <f aca="false">IF($A330="","",IF(N(AJ330)&gt;0,N(AP329)+1,0))</f>
        <v>1</v>
      </c>
      <c r="AQ330" s="21" t="str">
        <f aca="false">IF($A330="","",IF(WEEKDAY($A330,2)&lt;&gt;7,"",IF(AND(OR(AK330="",N(AK330)&gt;=$A330+16/24,N(AL330)&lt;=$A330+6/24),OR(AM330="",N(AM330)&lt;=$A330+6/24)),1,0)))</f>
        <v/>
      </c>
      <c r="AR330" s="26" t="str">
        <f aca="false">IF($A330="","",IF(INDEX(Muster!$C$10:$BF$10,1,MOD($A330-Einstellungen!$C$6,Einstellungen!$C$7)+1)="","-",INDEX(Muster!$C$10:$BF$10,1,MOD($A330-Einstellungen!$C$6,Einstellungen!$C$7)+1)))</f>
        <v>-</v>
      </c>
      <c r="AS330" s="27" t="n">
        <f aca="false">IF($A330="","",IFERROR(VLOOKUP(AR330,Schichten!$A$5:$G$24,6,FALSE()),0))</f>
        <v>0</v>
      </c>
      <c r="AT330" s="27" t="n">
        <f aca="false">IF($A330="","",IFERROR(VLOOKUP(AR330,Schichten!$A$5:$G$24,7,FALSE()),0))</f>
        <v>0</v>
      </c>
      <c r="AU330" s="28" t="str">
        <f aca="false">IF($A330="","",IF(N(AS330)=0,"",$A330+VLOOKUP(AR330,Schichten!$A$5:$G$24,3,FALSE())))</f>
        <v/>
      </c>
      <c r="AV330" s="28" t="str">
        <f aca="false">IF(AU330="","",$A330+VLOOKUP(AR330,Schichten!$A$5:$G$24,4,FALSE())+IF(VLOOKUP(AR330,Schichten!$A$5:$G$24,4,FALSE())&lt;=VLOOKUP(AR330,Schichten!$A$5:$G$24,3,FALSE()),1,0))</f>
        <v/>
      </c>
      <c r="AW330" s="28" t="str">
        <f aca="false">IF($A330="","",IF(N(AS329)&gt;0,AV329,AW329))</f>
        <v/>
      </c>
      <c r="AX330" s="27" t="str">
        <f aca="false">IF(OR(AU330="",AW330=""),"",(AU330-AW330)*24)</f>
        <v/>
      </c>
      <c r="AY330" s="21" t="n">
        <f aca="false">IF($A330="","",IF(N(AS330)&gt;0,N(AY329)+1,0))</f>
        <v>0</v>
      </c>
      <c r="AZ330" s="21" t="n">
        <f aca="false">IF($A330="","",IF(N(AT330)&gt;0,N(AZ329)+1,0))</f>
        <v>0</v>
      </c>
      <c r="BA330" s="21" t="str">
        <f aca="false">IF($A330="","",IF(WEEKDAY($A330,2)&lt;&gt;7,"",IF(AND(OR(AU330="",N(AU330)&gt;=$A330+16/24,N(AV330)&lt;=$A330+6/24),OR(AW330="",N(AW330)&lt;=$A330+6/24)),1,0)))</f>
        <v/>
      </c>
    </row>
    <row r="331" customFormat="false" ht="15" hidden="false" customHeight="false" outlineLevel="0" collapsed="false">
      <c r="A331" s="25" t="n">
        <f aca="false">IF(YEAR(DATE(Einstellungen!$C$4,1,1)+326)=Einstellungen!$C$4,DATE(Einstellungen!$C$4,1,1)+326,"")</f>
        <v>46714</v>
      </c>
      <c r="B331" s="26" t="str">
        <f aca="false">IF($A331="","",CHOOSE(WEEKDAY($A331,2),"Mo","Di","Mi","Do","Fr","Sa","So"))</f>
        <v>Di</v>
      </c>
      <c r="C331" s="26" t="n">
        <f aca="false">IF($A331="","",MONTH($A331))</f>
        <v>11</v>
      </c>
      <c r="D331" s="26" t="str">
        <f aca="false">IF($A331="","",IF(INDEX(Muster!$C$6:$BF$6,1,MOD($A331-Einstellungen!$C$6,Einstellungen!$C$7)+1)="","-",INDEX(Muster!$C$6:$BF$6,1,MOD($A331-Einstellungen!$C$6,Einstellungen!$C$7)+1)))</f>
        <v>S</v>
      </c>
      <c r="E331" s="27" t="n">
        <f aca="false">IF($A331="","",IFERROR(VLOOKUP(D331,Schichten!$A$5:$G$24,6,FALSE()),0))</f>
        <v>8</v>
      </c>
      <c r="F331" s="27" t="n">
        <f aca="false">IF($A331="","",IFERROR(VLOOKUP(D331,Schichten!$A$5:$G$24,7,FALSE()),0))</f>
        <v>0</v>
      </c>
      <c r="G331" s="28" t="n">
        <f aca="false">IF($A331="","",IF(N(E331)=0,"",$A331+VLOOKUP(D331,Schichten!$A$5:$G$24,3,FALSE())))</f>
        <v>46714.5833333333</v>
      </c>
      <c r="H331" s="28" t="n">
        <f aca="false">IF(G331="","",$A331+VLOOKUP(D331,Schichten!$A$5:$G$24,4,FALSE())+IF(VLOOKUP(D331,Schichten!$A$5:$G$24,4,FALSE())&lt;=VLOOKUP(D331,Schichten!$A$5:$G$24,3,FALSE()),1,0))</f>
        <v>46714.9166666667</v>
      </c>
      <c r="I331" s="28" t="n">
        <f aca="false">IF($A331="","",IF(N(E330)&gt;0,H330,I330))</f>
        <v>46713.9166666667</v>
      </c>
      <c r="J331" s="27" t="n">
        <f aca="false">IF(OR(G331="",I331=""),"",(G331-I331)*24)</f>
        <v>16</v>
      </c>
      <c r="K331" s="21" t="n">
        <f aca="false">IF($A331="","",IF(N(E331)&gt;0,N(K330)+1,0))</f>
        <v>4</v>
      </c>
      <c r="L331" s="21" t="n">
        <f aca="false">IF($A331="","",IF(N(F331)&gt;0,N(L330)+1,0))</f>
        <v>0</v>
      </c>
      <c r="M331" s="21" t="str">
        <f aca="false">IF($A331="","",IF(WEEKDAY($A331,2)&lt;&gt;7,"",IF(AND(OR(G331="",N(G331)&gt;=$A331+16/24,N(H331)&lt;=$A331+6/24),OR(I331="",N(I331)&lt;=$A331+6/24)),1,0)))</f>
        <v/>
      </c>
      <c r="N331" s="26" t="str">
        <f aca="false">IF($A331="","",IF(INDEX(Muster!$C$7:$BF$7,1,MOD($A331-Einstellungen!$C$6,Einstellungen!$C$7)+1)="","-",INDEX(Muster!$C$7:$BF$7,1,MOD($A331-Einstellungen!$C$6,Einstellungen!$C$7)+1)))</f>
        <v>F</v>
      </c>
      <c r="O331" s="27" t="n">
        <f aca="false">IF($A331="","",IFERROR(VLOOKUP(N331,Schichten!$A$5:$G$24,6,FALSE()),0))</f>
        <v>8</v>
      </c>
      <c r="P331" s="27" t="n">
        <f aca="false">IF($A331="","",IFERROR(VLOOKUP(N331,Schichten!$A$5:$G$24,7,FALSE()),0))</f>
        <v>0</v>
      </c>
      <c r="Q331" s="28" t="n">
        <f aca="false">IF($A331="","",IF(N(O331)=0,"",$A331+VLOOKUP(N331,Schichten!$A$5:$G$24,3,FALSE())))</f>
        <v>46714.25</v>
      </c>
      <c r="R331" s="28" t="n">
        <f aca="false">IF(Q331="","",$A331+VLOOKUP(N331,Schichten!$A$5:$G$24,4,FALSE())+IF(VLOOKUP(N331,Schichten!$A$5:$G$24,4,FALSE())&lt;=VLOOKUP(N331,Schichten!$A$5:$G$24,3,FALSE()),1,0))</f>
        <v>46714.5833333333</v>
      </c>
      <c r="S331" s="28" t="n">
        <f aca="false">IF($A331="","",IF(N(O330)&gt;0,R330,S330))</f>
        <v>46713.5833333333</v>
      </c>
      <c r="T331" s="27" t="n">
        <f aca="false">IF(OR(Q331="",S331=""),"",(Q331-S331)*24)</f>
        <v>16</v>
      </c>
      <c r="U331" s="21" t="n">
        <f aca="false">IF($A331="","",IF(N(O331)&gt;0,N(U330)+1,0))</f>
        <v>2</v>
      </c>
      <c r="V331" s="21" t="n">
        <f aca="false">IF($A331="","",IF(N(P331)&gt;0,N(V330)+1,0))</f>
        <v>0</v>
      </c>
      <c r="W331" s="21" t="str">
        <f aca="false">IF($A331="","",IF(WEEKDAY($A331,2)&lt;&gt;7,"",IF(AND(OR(Q331="",N(Q331)&gt;=$A331+16/24,N(R331)&lt;=$A331+6/24),OR(S331="",N(S331)&lt;=$A331+6/24)),1,0)))</f>
        <v/>
      </c>
      <c r="X331" s="26" t="str">
        <f aca="false">IF($A331="","",IF(INDEX(Muster!$C$8:$BF$8,1,MOD($A331-Einstellungen!$C$6,Einstellungen!$C$7)+1)="","-",INDEX(Muster!$C$8:$BF$8,1,MOD($A331-Einstellungen!$C$6,Einstellungen!$C$7)+1)))</f>
        <v>-</v>
      </c>
      <c r="Y331" s="27" t="n">
        <f aca="false">IF($A331="","",IFERROR(VLOOKUP(X331,Schichten!$A$5:$G$24,6,FALSE()),0))</f>
        <v>0</v>
      </c>
      <c r="Z331" s="27" t="n">
        <f aca="false">IF($A331="","",IFERROR(VLOOKUP(X331,Schichten!$A$5:$G$24,7,FALSE()),0))</f>
        <v>0</v>
      </c>
      <c r="AA331" s="28" t="str">
        <f aca="false">IF($A331="","",IF(N(Y331)=0,"",$A331+VLOOKUP(X331,Schichten!$A$5:$G$24,3,FALSE())))</f>
        <v/>
      </c>
      <c r="AB331" s="28" t="str">
        <f aca="false">IF(AA331="","",$A331+VLOOKUP(X331,Schichten!$A$5:$G$24,4,FALSE())+IF(VLOOKUP(X331,Schichten!$A$5:$G$24,4,FALSE())&lt;=VLOOKUP(X331,Schichten!$A$5:$G$24,3,FALSE()),1,0))</f>
        <v/>
      </c>
      <c r="AC331" s="28" t="n">
        <f aca="false">IF($A331="","",IF(N(Y330)&gt;0,AB330,AC330))</f>
        <v>46713.25</v>
      </c>
      <c r="AD331" s="27" t="str">
        <f aca="false">IF(OR(AA331="",AC331=""),"",(AA331-AC331)*24)</f>
        <v/>
      </c>
      <c r="AE331" s="21" t="n">
        <f aca="false">IF($A331="","",IF(N(Y331)&gt;0,N(AE330)+1,0))</f>
        <v>0</v>
      </c>
      <c r="AF331" s="21" t="n">
        <f aca="false">IF($A331="","",IF(N(Z331)&gt;0,N(AF330)+1,0))</f>
        <v>0</v>
      </c>
      <c r="AG331" s="21" t="str">
        <f aca="false">IF($A331="","",IF(WEEKDAY($A331,2)&lt;&gt;7,"",IF(AND(OR(AA331="",N(AA331)&gt;=$A331+16/24,N(AB331)&lt;=$A331+6/24),OR(AC331="",N(AC331)&lt;=$A331+6/24)),1,0)))</f>
        <v/>
      </c>
      <c r="AH331" s="26" t="str">
        <f aca="false">IF($A331="","",IF(INDEX(Muster!$C$9:$BF$9,1,MOD($A331-Einstellungen!$C$6,Einstellungen!$C$7)+1)="","-",INDEX(Muster!$C$9:$BF$9,1,MOD($A331-Einstellungen!$C$6,Einstellungen!$C$7)+1)))</f>
        <v>N</v>
      </c>
      <c r="AI331" s="27" t="n">
        <f aca="false">IF($A331="","",IFERROR(VLOOKUP(AH331,Schichten!$A$5:$G$24,6,FALSE()),0))</f>
        <v>8</v>
      </c>
      <c r="AJ331" s="27" t="n">
        <f aca="false">IF($A331="","",IFERROR(VLOOKUP(AH331,Schichten!$A$5:$G$24,7,FALSE()),0))</f>
        <v>7</v>
      </c>
      <c r="AK331" s="28" t="n">
        <f aca="false">IF($A331="","",IF(N(AI331)=0,"",$A331+VLOOKUP(AH331,Schichten!$A$5:$G$24,3,FALSE())))</f>
        <v>46714.9166666667</v>
      </c>
      <c r="AL331" s="28" t="n">
        <f aca="false">IF(AK331="","",$A331+VLOOKUP(AH331,Schichten!$A$5:$G$24,4,FALSE())+IF(VLOOKUP(AH331,Schichten!$A$5:$G$24,4,FALSE())&lt;=VLOOKUP(AH331,Schichten!$A$5:$G$24,3,FALSE()),1,0))</f>
        <v>46715.25</v>
      </c>
      <c r="AM331" s="28" t="n">
        <f aca="false">IF($A331="","",IF(N(AI330)&gt;0,AL330,AM330))</f>
        <v>46714.25</v>
      </c>
      <c r="AN331" s="27" t="n">
        <f aca="false">IF(OR(AK331="",AM331=""),"",(AK331-AM331)*24)</f>
        <v>16</v>
      </c>
      <c r="AO331" s="21" t="n">
        <f aca="false">IF($A331="","",IF(N(AI331)&gt;0,N(AO330)+1,0))</f>
        <v>6</v>
      </c>
      <c r="AP331" s="21" t="n">
        <f aca="false">IF($A331="","",IF(N(AJ331)&gt;0,N(AP330)+1,0))</f>
        <v>2</v>
      </c>
      <c r="AQ331" s="21" t="str">
        <f aca="false">IF($A331="","",IF(WEEKDAY($A331,2)&lt;&gt;7,"",IF(AND(OR(AK331="",N(AK331)&gt;=$A331+16/24,N(AL331)&lt;=$A331+6/24),OR(AM331="",N(AM331)&lt;=$A331+6/24)),1,0)))</f>
        <v/>
      </c>
      <c r="AR331" s="26" t="str">
        <f aca="false">IF($A331="","",IF(INDEX(Muster!$C$10:$BF$10,1,MOD($A331-Einstellungen!$C$6,Einstellungen!$C$7)+1)="","-",INDEX(Muster!$C$10:$BF$10,1,MOD($A331-Einstellungen!$C$6,Einstellungen!$C$7)+1)))</f>
        <v>-</v>
      </c>
      <c r="AS331" s="27" t="n">
        <f aca="false">IF($A331="","",IFERROR(VLOOKUP(AR331,Schichten!$A$5:$G$24,6,FALSE()),0))</f>
        <v>0</v>
      </c>
      <c r="AT331" s="27" t="n">
        <f aca="false">IF($A331="","",IFERROR(VLOOKUP(AR331,Schichten!$A$5:$G$24,7,FALSE()),0))</f>
        <v>0</v>
      </c>
      <c r="AU331" s="28" t="str">
        <f aca="false">IF($A331="","",IF(N(AS331)=0,"",$A331+VLOOKUP(AR331,Schichten!$A$5:$G$24,3,FALSE())))</f>
        <v/>
      </c>
      <c r="AV331" s="28" t="str">
        <f aca="false">IF(AU331="","",$A331+VLOOKUP(AR331,Schichten!$A$5:$G$24,4,FALSE())+IF(VLOOKUP(AR331,Schichten!$A$5:$G$24,4,FALSE())&lt;=VLOOKUP(AR331,Schichten!$A$5:$G$24,3,FALSE()),1,0))</f>
        <v/>
      </c>
      <c r="AW331" s="28" t="str">
        <f aca="false">IF($A331="","",IF(N(AS330)&gt;0,AV330,AW330))</f>
        <v/>
      </c>
      <c r="AX331" s="27" t="str">
        <f aca="false">IF(OR(AU331="",AW331=""),"",(AU331-AW331)*24)</f>
        <v/>
      </c>
      <c r="AY331" s="21" t="n">
        <f aca="false">IF($A331="","",IF(N(AS331)&gt;0,N(AY330)+1,0))</f>
        <v>0</v>
      </c>
      <c r="AZ331" s="21" t="n">
        <f aca="false">IF($A331="","",IF(N(AT331)&gt;0,N(AZ330)+1,0))</f>
        <v>0</v>
      </c>
      <c r="BA331" s="21" t="str">
        <f aca="false">IF($A331="","",IF(WEEKDAY($A331,2)&lt;&gt;7,"",IF(AND(OR(AU331="",N(AU331)&gt;=$A331+16/24,N(AV331)&lt;=$A331+6/24),OR(AW331="",N(AW331)&lt;=$A331+6/24)),1,0)))</f>
        <v/>
      </c>
    </row>
    <row r="332" customFormat="false" ht="15" hidden="false" customHeight="false" outlineLevel="0" collapsed="false">
      <c r="A332" s="25" t="n">
        <f aca="false">IF(YEAR(DATE(Einstellungen!$C$4,1,1)+327)=Einstellungen!$C$4,DATE(Einstellungen!$C$4,1,1)+327,"")</f>
        <v>46715</v>
      </c>
      <c r="B332" s="26" t="str">
        <f aca="false">IF($A332="","",CHOOSE(WEEKDAY($A332,2),"Mo","Di","Mi","Do","Fr","Sa","So"))</f>
        <v>Mi</v>
      </c>
      <c r="C332" s="26" t="n">
        <f aca="false">IF($A332="","",MONTH($A332))</f>
        <v>11</v>
      </c>
      <c r="D332" s="26" t="str">
        <f aca="false">IF($A332="","",IF(INDEX(Muster!$C$6:$BF$6,1,MOD($A332-Einstellungen!$C$6,Einstellungen!$C$7)+1)="","-",INDEX(Muster!$C$6:$BF$6,1,MOD($A332-Einstellungen!$C$6,Einstellungen!$C$7)+1)))</f>
        <v>N</v>
      </c>
      <c r="E332" s="27" t="n">
        <f aca="false">IF($A332="","",IFERROR(VLOOKUP(D332,Schichten!$A$5:$G$24,6,FALSE()),0))</f>
        <v>8</v>
      </c>
      <c r="F332" s="27" t="n">
        <f aca="false">IF($A332="","",IFERROR(VLOOKUP(D332,Schichten!$A$5:$G$24,7,FALSE()),0))</f>
        <v>7</v>
      </c>
      <c r="G332" s="28" t="n">
        <f aca="false">IF($A332="","",IF(N(E332)=0,"",$A332+VLOOKUP(D332,Schichten!$A$5:$G$24,3,FALSE())))</f>
        <v>46715.9166666667</v>
      </c>
      <c r="H332" s="28" t="n">
        <f aca="false">IF(G332="","",$A332+VLOOKUP(D332,Schichten!$A$5:$G$24,4,FALSE())+IF(VLOOKUP(D332,Schichten!$A$5:$G$24,4,FALSE())&lt;=VLOOKUP(D332,Schichten!$A$5:$G$24,3,FALSE()),1,0))</f>
        <v>46716.25</v>
      </c>
      <c r="I332" s="28" t="n">
        <f aca="false">IF($A332="","",IF(N(E331)&gt;0,H331,I331))</f>
        <v>46714.9166666667</v>
      </c>
      <c r="J332" s="27" t="n">
        <f aca="false">IF(OR(G332="",I332=""),"",(G332-I332)*24)</f>
        <v>24</v>
      </c>
      <c r="K332" s="21" t="n">
        <f aca="false">IF($A332="","",IF(N(E332)&gt;0,N(K331)+1,0))</f>
        <v>5</v>
      </c>
      <c r="L332" s="21" t="n">
        <f aca="false">IF($A332="","",IF(N(F332)&gt;0,N(L331)+1,0))</f>
        <v>1</v>
      </c>
      <c r="M332" s="21" t="str">
        <f aca="false">IF($A332="","",IF(WEEKDAY($A332,2)&lt;&gt;7,"",IF(AND(OR(G332="",N(G332)&gt;=$A332+16/24,N(H332)&lt;=$A332+6/24),OR(I332="",N(I332)&lt;=$A332+6/24)),1,0)))</f>
        <v/>
      </c>
      <c r="N332" s="26" t="str">
        <f aca="false">IF($A332="","",IF(INDEX(Muster!$C$7:$BF$7,1,MOD($A332-Einstellungen!$C$6,Einstellungen!$C$7)+1)="","-",INDEX(Muster!$C$7:$BF$7,1,MOD($A332-Einstellungen!$C$6,Einstellungen!$C$7)+1)))</f>
        <v>S</v>
      </c>
      <c r="O332" s="27" t="n">
        <f aca="false">IF($A332="","",IFERROR(VLOOKUP(N332,Schichten!$A$5:$G$24,6,FALSE()),0))</f>
        <v>8</v>
      </c>
      <c r="P332" s="27" t="n">
        <f aca="false">IF($A332="","",IFERROR(VLOOKUP(N332,Schichten!$A$5:$G$24,7,FALSE()),0))</f>
        <v>0</v>
      </c>
      <c r="Q332" s="28" t="n">
        <f aca="false">IF($A332="","",IF(N(O332)=0,"",$A332+VLOOKUP(N332,Schichten!$A$5:$G$24,3,FALSE())))</f>
        <v>46715.5833333333</v>
      </c>
      <c r="R332" s="28" t="n">
        <f aca="false">IF(Q332="","",$A332+VLOOKUP(N332,Schichten!$A$5:$G$24,4,FALSE())+IF(VLOOKUP(N332,Schichten!$A$5:$G$24,4,FALSE())&lt;=VLOOKUP(N332,Schichten!$A$5:$G$24,3,FALSE()),1,0))</f>
        <v>46715.9166666667</v>
      </c>
      <c r="S332" s="28" t="n">
        <f aca="false">IF($A332="","",IF(N(O331)&gt;0,R331,S331))</f>
        <v>46714.5833333333</v>
      </c>
      <c r="T332" s="27" t="n">
        <f aca="false">IF(OR(Q332="",S332=""),"",(Q332-S332)*24)</f>
        <v>24</v>
      </c>
      <c r="U332" s="21" t="n">
        <f aca="false">IF($A332="","",IF(N(O332)&gt;0,N(U331)+1,0))</f>
        <v>3</v>
      </c>
      <c r="V332" s="21" t="n">
        <f aca="false">IF($A332="","",IF(N(P332)&gt;0,N(V331)+1,0))</f>
        <v>0</v>
      </c>
      <c r="W332" s="21" t="str">
        <f aca="false">IF($A332="","",IF(WEEKDAY($A332,2)&lt;&gt;7,"",IF(AND(OR(Q332="",N(Q332)&gt;=$A332+16/24,N(R332)&lt;=$A332+6/24),OR(S332="",N(S332)&lt;=$A332+6/24)),1,0)))</f>
        <v/>
      </c>
      <c r="X332" s="26" t="str">
        <f aca="false">IF($A332="","",IF(INDEX(Muster!$C$8:$BF$8,1,MOD($A332-Einstellungen!$C$6,Einstellungen!$C$7)+1)="","-",INDEX(Muster!$C$8:$BF$8,1,MOD($A332-Einstellungen!$C$6,Einstellungen!$C$7)+1)))</f>
        <v>F</v>
      </c>
      <c r="Y332" s="27" t="n">
        <f aca="false">IF($A332="","",IFERROR(VLOOKUP(X332,Schichten!$A$5:$G$24,6,FALSE()),0))</f>
        <v>8</v>
      </c>
      <c r="Z332" s="27" t="n">
        <f aca="false">IF($A332="","",IFERROR(VLOOKUP(X332,Schichten!$A$5:$G$24,7,FALSE()),0))</f>
        <v>0</v>
      </c>
      <c r="AA332" s="28" t="n">
        <f aca="false">IF($A332="","",IF(N(Y332)=0,"",$A332+VLOOKUP(X332,Schichten!$A$5:$G$24,3,FALSE())))</f>
        <v>46715.25</v>
      </c>
      <c r="AB332" s="28" t="n">
        <f aca="false">IF(AA332="","",$A332+VLOOKUP(X332,Schichten!$A$5:$G$24,4,FALSE())+IF(VLOOKUP(X332,Schichten!$A$5:$G$24,4,FALSE())&lt;=VLOOKUP(X332,Schichten!$A$5:$G$24,3,FALSE()),1,0))</f>
        <v>46715.5833333333</v>
      </c>
      <c r="AC332" s="28" t="n">
        <f aca="false">IF($A332="","",IF(N(Y331)&gt;0,AB331,AC331))</f>
        <v>46713.25</v>
      </c>
      <c r="AD332" s="27" t="n">
        <f aca="false">IF(OR(AA332="",AC332=""),"",(AA332-AC332)*24)</f>
        <v>48</v>
      </c>
      <c r="AE332" s="21" t="n">
        <f aca="false">IF($A332="","",IF(N(Y332)&gt;0,N(AE331)+1,0))</f>
        <v>1</v>
      </c>
      <c r="AF332" s="21" t="n">
        <f aca="false">IF($A332="","",IF(N(Z332)&gt;0,N(AF331)+1,0))</f>
        <v>0</v>
      </c>
      <c r="AG332" s="21" t="str">
        <f aca="false">IF($A332="","",IF(WEEKDAY($A332,2)&lt;&gt;7,"",IF(AND(OR(AA332="",N(AA332)&gt;=$A332+16/24,N(AB332)&lt;=$A332+6/24),OR(AC332="",N(AC332)&lt;=$A332+6/24)),1,0)))</f>
        <v/>
      </c>
      <c r="AH332" s="26" t="str">
        <f aca="false">IF($A332="","",IF(INDEX(Muster!$C$9:$BF$9,1,MOD($A332-Einstellungen!$C$6,Einstellungen!$C$7)+1)="","-",INDEX(Muster!$C$9:$BF$9,1,MOD($A332-Einstellungen!$C$6,Einstellungen!$C$7)+1)))</f>
        <v>-</v>
      </c>
      <c r="AI332" s="27" t="n">
        <f aca="false">IF($A332="","",IFERROR(VLOOKUP(AH332,Schichten!$A$5:$G$24,6,FALSE()),0))</f>
        <v>0</v>
      </c>
      <c r="AJ332" s="27" t="n">
        <f aca="false">IF($A332="","",IFERROR(VLOOKUP(AH332,Schichten!$A$5:$G$24,7,FALSE()),0))</f>
        <v>0</v>
      </c>
      <c r="AK332" s="28" t="str">
        <f aca="false">IF($A332="","",IF(N(AI332)=0,"",$A332+VLOOKUP(AH332,Schichten!$A$5:$G$24,3,FALSE())))</f>
        <v/>
      </c>
      <c r="AL332" s="28" t="str">
        <f aca="false">IF(AK332="","",$A332+VLOOKUP(AH332,Schichten!$A$5:$G$24,4,FALSE())+IF(VLOOKUP(AH332,Schichten!$A$5:$G$24,4,FALSE())&lt;=VLOOKUP(AH332,Schichten!$A$5:$G$24,3,FALSE()),1,0))</f>
        <v/>
      </c>
      <c r="AM332" s="28" t="n">
        <f aca="false">IF($A332="","",IF(N(AI331)&gt;0,AL331,AM331))</f>
        <v>46715.25</v>
      </c>
      <c r="AN332" s="27" t="str">
        <f aca="false">IF(OR(AK332="",AM332=""),"",(AK332-AM332)*24)</f>
        <v/>
      </c>
      <c r="AO332" s="21" t="n">
        <f aca="false">IF($A332="","",IF(N(AI332)&gt;0,N(AO331)+1,0))</f>
        <v>0</v>
      </c>
      <c r="AP332" s="21" t="n">
        <f aca="false">IF($A332="","",IF(N(AJ332)&gt;0,N(AP331)+1,0))</f>
        <v>0</v>
      </c>
      <c r="AQ332" s="21" t="str">
        <f aca="false">IF($A332="","",IF(WEEKDAY($A332,2)&lt;&gt;7,"",IF(AND(OR(AK332="",N(AK332)&gt;=$A332+16/24,N(AL332)&lt;=$A332+6/24),OR(AM332="",N(AM332)&lt;=$A332+6/24)),1,0)))</f>
        <v/>
      </c>
      <c r="AR332" s="26" t="str">
        <f aca="false">IF($A332="","",IF(INDEX(Muster!$C$10:$BF$10,1,MOD($A332-Einstellungen!$C$6,Einstellungen!$C$7)+1)="","-",INDEX(Muster!$C$10:$BF$10,1,MOD($A332-Einstellungen!$C$6,Einstellungen!$C$7)+1)))</f>
        <v>-</v>
      </c>
      <c r="AS332" s="27" t="n">
        <f aca="false">IF($A332="","",IFERROR(VLOOKUP(AR332,Schichten!$A$5:$G$24,6,FALSE()),0))</f>
        <v>0</v>
      </c>
      <c r="AT332" s="27" t="n">
        <f aca="false">IF($A332="","",IFERROR(VLOOKUP(AR332,Schichten!$A$5:$G$24,7,FALSE()),0))</f>
        <v>0</v>
      </c>
      <c r="AU332" s="28" t="str">
        <f aca="false">IF($A332="","",IF(N(AS332)=0,"",$A332+VLOOKUP(AR332,Schichten!$A$5:$G$24,3,FALSE())))</f>
        <v/>
      </c>
      <c r="AV332" s="28" t="str">
        <f aca="false">IF(AU332="","",$A332+VLOOKUP(AR332,Schichten!$A$5:$G$24,4,FALSE())+IF(VLOOKUP(AR332,Schichten!$A$5:$G$24,4,FALSE())&lt;=VLOOKUP(AR332,Schichten!$A$5:$G$24,3,FALSE()),1,0))</f>
        <v/>
      </c>
      <c r="AW332" s="28" t="str">
        <f aca="false">IF($A332="","",IF(N(AS331)&gt;0,AV331,AW331))</f>
        <v/>
      </c>
      <c r="AX332" s="27" t="str">
        <f aca="false">IF(OR(AU332="",AW332=""),"",(AU332-AW332)*24)</f>
        <v/>
      </c>
      <c r="AY332" s="21" t="n">
        <f aca="false">IF($A332="","",IF(N(AS332)&gt;0,N(AY331)+1,0))</f>
        <v>0</v>
      </c>
      <c r="AZ332" s="21" t="n">
        <f aca="false">IF($A332="","",IF(N(AT332)&gt;0,N(AZ331)+1,0))</f>
        <v>0</v>
      </c>
      <c r="BA332" s="21" t="str">
        <f aca="false">IF($A332="","",IF(WEEKDAY($A332,2)&lt;&gt;7,"",IF(AND(OR(AU332="",N(AU332)&gt;=$A332+16/24,N(AV332)&lt;=$A332+6/24),OR(AW332="",N(AW332)&lt;=$A332+6/24)),1,0)))</f>
        <v/>
      </c>
    </row>
    <row r="333" customFormat="false" ht="15" hidden="false" customHeight="false" outlineLevel="0" collapsed="false">
      <c r="A333" s="25" t="n">
        <f aca="false">IF(YEAR(DATE(Einstellungen!$C$4,1,1)+328)=Einstellungen!$C$4,DATE(Einstellungen!$C$4,1,1)+328,"")</f>
        <v>46716</v>
      </c>
      <c r="B333" s="26" t="str">
        <f aca="false">IF($A333="","",CHOOSE(WEEKDAY($A333,2),"Mo","Di","Mi","Do","Fr","Sa","So"))</f>
        <v>Do</v>
      </c>
      <c r="C333" s="26" t="n">
        <f aca="false">IF($A333="","",MONTH($A333))</f>
        <v>11</v>
      </c>
      <c r="D333" s="26" t="str">
        <f aca="false">IF($A333="","",IF(INDEX(Muster!$C$6:$BF$6,1,MOD($A333-Einstellungen!$C$6,Einstellungen!$C$7)+1)="","-",INDEX(Muster!$C$6:$BF$6,1,MOD($A333-Einstellungen!$C$6,Einstellungen!$C$7)+1)))</f>
        <v>N</v>
      </c>
      <c r="E333" s="27" t="n">
        <f aca="false">IF($A333="","",IFERROR(VLOOKUP(D333,Schichten!$A$5:$G$24,6,FALSE()),0))</f>
        <v>8</v>
      </c>
      <c r="F333" s="27" t="n">
        <f aca="false">IF($A333="","",IFERROR(VLOOKUP(D333,Schichten!$A$5:$G$24,7,FALSE()),0))</f>
        <v>7</v>
      </c>
      <c r="G333" s="28" t="n">
        <f aca="false">IF($A333="","",IF(N(E333)=0,"",$A333+VLOOKUP(D333,Schichten!$A$5:$G$24,3,FALSE())))</f>
        <v>46716.9166666667</v>
      </c>
      <c r="H333" s="28" t="n">
        <f aca="false">IF(G333="","",$A333+VLOOKUP(D333,Schichten!$A$5:$G$24,4,FALSE())+IF(VLOOKUP(D333,Schichten!$A$5:$G$24,4,FALSE())&lt;=VLOOKUP(D333,Schichten!$A$5:$G$24,3,FALSE()),1,0))</f>
        <v>46717.25</v>
      </c>
      <c r="I333" s="28" t="n">
        <f aca="false">IF($A333="","",IF(N(E332)&gt;0,H332,I332))</f>
        <v>46716.25</v>
      </c>
      <c r="J333" s="27" t="n">
        <f aca="false">IF(OR(G333="",I333=""),"",(G333-I333)*24)</f>
        <v>16</v>
      </c>
      <c r="K333" s="21" t="n">
        <f aca="false">IF($A333="","",IF(N(E333)&gt;0,N(K332)+1,0))</f>
        <v>6</v>
      </c>
      <c r="L333" s="21" t="n">
        <f aca="false">IF($A333="","",IF(N(F333)&gt;0,N(L332)+1,0))</f>
        <v>2</v>
      </c>
      <c r="M333" s="21" t="str">
        <f aca="false">IF($A333="","",IF(WEEKDAY($A333,2)&lt;&gt;7,"",IF(AND(OR(G333="",N(G333)&gt;=$A333+16/24,N(H333)&lt;=$A333+6/24),OR(I333="",N(I333)&lt;=$A333+6/24)),1,0)))</f>
        <v/>
      </c>
      <c r="N333" s="26" t="str">
        <f aca="false">IF($A333="","",IF(INDEX(Muster!$C$7:$BF$7,1,MOD($A333-Einstellungen!$C$6,Einstellungen!$C$7)+1)="","-",INDEX(Muster!$C$7:$BF$7,1,MOD($A333-Einstellungen!$C$6,Einstellungen!$C$7)+1)))</f>
        <v>S</v>
      </c>
      <c r="O333" s="27" t="n">
        <f aca="false">IF($A333="","",IFERROR(VLOOKUP(N333,Schichten!$A$5:$G$24,6,FALSE()),0))</f>
        <v>8</v>
      </c>
      <c r="P333" s="27" t="n">
        <f aca="false">IF($A333="","",IFERROR(VLOOKUP(N333,Schichten!$A$5:$G$24,7,FALSE()),0))</f>
        <v>0</v>
      </c>
      <c r="Q333" s="28" t="n">
        <f aca="false">IF($A333="","",IF(N(O333)=0,"",$A333+VLOOKUP(N333,Schichten!$A$5:$G$24,3,FALSE())))</f>
        <v>46716.5833333333</v>
      </c>
      <c r="R333" s="28" t="n">
        <f aca="false">IF(Q333="","",$A333+VLOOKUP(N333,Schichten!$A$5:$G$24,4,FALSE())+IF(VLOOKUP(N333,Schichten!$A$5:$G$24,4,FALSE())&lt;=VLOOKUP(N333,Schichten!$A$5:$G$24,3,FALSE()),1,0))</f>
        <v>46716.9166666667</v>
      </c>
      <c r="S333" s="28" t="n">
        <f aca="false">IF($A333="","",IF(N(O332)&gt;0,R332,S332))</f>
        <v>46715.9166666667</v>
      </c>
      <c r="T333" s="27" t="n">
        <f aca="false">IF(OR(Q333="",S333=""),"",(Q333-S333)*24)</f>
        <v>16</v>
      </c>
      <c r="U333" s="21" t="n">
        <f aca="false">IF($A333="","",IF(N(O333)&gt;0,N(U332)+1,0))</f>
        <v>4</v>
      </c>
      <c r="V333" s="21" t="n">
        <f aca="false">IF($A333="","",IF(N(P333)&gt;0,N(V332)+1,0))</f>
        <v>0</v>
      </c>
      <c r="W333" s="21" t="str">
        <f aca="false">IF($A333="","",IF(WEEKDAY($A333,2)&lt;&gt;7,"",IF(AND(OR(Q333="",N(Q333)&gt;=$A333+16/24,N(R333)&lt;=$A333+6/24),OR(S333="",N(S333)&lt;=$A333+6/24)),1,0)))</f>
        <v/>
      </c>
      <c r="X333" s="26" t="str">
        <f aca="false">IF($A333="","",IF(INDEX(Muster!$C$8:$BF$8,1,MOD($A333-Einstellungen!$C$6,Einstellungen!$C$7)+1)="","-",INDEX(Muster!$C$8:$BF$8,1,MOD($A333-Einstellungen!$C$6,Einstellungen!$C$7)+1)))</f>
        <v>F</v>
      </c>
      <c r="Y333" s="27" t="n">
        <f aca="false">IF($A333="","",IFERROR(VLOOKUP(X333,Schichten!$A$5:$G$24,6,FALSE()),0))</f>
        <v>8</v>
      </c>
      <c r="Z333" s="27" t="n">
        <f aca="false">IF($A333="","",IFERROR(VLOOKUP(X333,Schichten!$A$5:$G$24,7,FALSE()),0))</f>
        <v>0</v>
      </c>
      <c r="AA333" s="28" t="n">
        <f aca="false">IF($A333="","",IF(N(Y333)=0,"",$A333+VLOOKUP(X333,Schichten!$A$5:$G$24,3,FALSE())))</f>
        <v>46716.25</v>
      </c>
      <c r="AB333" s="28" t="n">
        <f aca="false">IF(AA333="","",$A333+VLOOKUP(X333,Schichten!$A$5:$G$24,4,FALSE())+IF(VLOOKUP(X333,Schichten!$A$5:$G$24,4,FALSE())&lt;=VLOOKUP(X333,Schichten!$A$5:$G$24,3,FALSE()),1,0))</f>
        <v>46716.5833333333</v>
      </c>
      <c r="AC333" s="28" t="n">
        <f aca="false">IF($A333="","",IF(N(Y332)&gt;0,AB332,AC332))</f>
        <v>46715.5833333333</v>
      </c>
      <c r="AD333" s="27" t="n">
        <f aca="false">IF(OR(AA333="",AC333=""),"",(AA333-AC333)*24)</f>
        <v>16</v>
      </c>
      <c r="AE333" s="21" t="n">
        <f aca="false">IF($A333="","",IF(N(Y333)&gt;0,N(AE332)+1,0))</f>
        <v>2</v>
      </c>
      <c r="AF333" s="21" t="n">
        <f aca="false">IF($A333="","",IF(N(Z333)&gt;0,N(AF332)+1,0))</f>
        <v>0</v>
      </c>
      <c r="AG333" s="21" t="str">
        <f aca="false">IF($A333="","",IF(WEEKDAY($A333,2)&lt;&gt;7,"",IF(AND(OR(AA333="",N(AA333)&gt;=$A333+16/24,N(AB333)&lt;=$A333+6/24),OR(AC333="",N(AC333)&lt;=$A333+6/24)),1,0)))</f>
        <v/>
      </c>
      <c r="AH333" s="26" t="str">
        <f aca="false">IF($A333="","",IF(INDEX(Muster!$C$9:$BF$9,1,MOD($A333-Einstellungen!$C$6,Einstellungen!$C$7)+1)="","-",INDEX(Muster!$C$9:$BF$9,1,MOD($A333-Einstellungen!$C$6,Einstellungen!$C$7)+1)))</f>
        <v>-</v>
      </c>
      <c r="AI333" s="27" t="n">
        <f aca="false">IF($A333="","",IFERROR(VLOOKUP(AH333,Schichten!$A$5:$G$24,6,FALSE()),0))</f>
        <v>0</v>
      </c>
      <c r="AJ333" s="27" t="n">
        <f aca="false">IF($A333="","",IFERROR(VLOOKUP(AH333,Schichten!$A$5:$G$24,7,FALSE()),0))</f>
        <v>0</v>
      </c>
      <c r="AK333" s="28" t="str">
        <f aca="false">IF($A333="","",IF(N(AI333)=0,"",$A333+VLOOKUP(AH333,Schichten!$A$5:$G$24,3,FALSE())))</f>
        <v/>
      </c>
      <c r="AL333" s="28" t="str">
        <f aca="false">IF(AK333="","",$A333+VLOOKUP(AH333,Schichten!$A$5:$G$24,4,FALSE())+IF(VLOOKUP(AH333,Schichten!$A$5:$G$24,4,FALSE())&lt;=VLOOKUP(AH333,Schichten!$A$5:$G$24,3,FALSE()),1,0))</f>
        <v/>
      </c>
      <c r="AM333" s="28" t="n">
        <f aca="false">IF($A333="","",IF(N(AI332)&gt;0,AL332,AM332))</f>
        <v>46715.25</v>
      </c>
      <c r="AN333" s="27" t="str">
        <f aca="false">IF(OR(AK333="",AM333=""),"",(AK333-AM333)*24)</f>
        <v/>
      </c>
      <c r="AO333" s="21" t="n">
        <f aca="false">IF($A333="","",IF(N(AI333)&gt;0,N(AO332)+1,0))</f>
        <v>0</v>
      </c>
      <c r="AP333" s="21" t="n">
        <f aca="false">IF($A333="","",IF(N(AJ333)&gt;0,N(AP332)+1,0))</f>
        <v>0</v>
      </c>
      <c r="AQ333" s="21" t="str">
        <f aca="false">IF($A333="","",IF(WEEKDAY($A333,2)&lt;&gt;7,"",IF(AND(OR(AK333="",N(AK333)&gt;=$A333+16/24,N(AL333)&lt;=$A333+6/24),OR(AM333="",N(AM333)&lt;=$A333+6/24)),1,0)))</f>
        <v/>
      </c>
      <c r="AR333" s="26" t="str">
        <f aca="false">IF($A333="","",IF(INDEX(Muster!$C$10:$BF$10,1,MOD($A333-Einstellungen!$C$6,Einstellungen!$C$7)+1)="","-",INDEX(Muster!$C$10:$BF$10,1,MOD($A333-Einstellungen!$C$6,Einstellungen!$C$7)+1)))</f>
        <v>-</v>
      </c>
      <c r="AS333" s="27" t="n">
        <f aca="false">IF($A333="","",IFERROR(VLOOKUP(AR333,Schichten!$A$5:$G$24,6,FALSE()),0))</f>
        <v>0</v>
      </c>
      <c r="AT333" s="27" t="n">
        <f aca="false">IF($A333="","",IFERROR(VLOOKUP(AR333,Schichten!$A$5:$G$24,7,FALSE()),0))</f>
        <v>0</v>
      </c>
      <c r="AU333" s="28" t="str">
        <f aca="false">IF($A333="","",IF(N(AS333)=0,"",$A333+VLOOKUP(AR333,Schichten!$A$5:$G$24,3,FALSE())))</f>
        <v/>
      </c>
      <c r="AV333" s="28" t="str">
        <f aca="false">IF(AU333="","",$A333+VLOOKUP(AR333,Schichten!$A$5:$G$24,4,FALSE())+IF(VLOOKUP(AR333,Schichten!$A$5:$G$24,4,FALSE())&lt;=VLOOKUP(AR333,Schichten!$A$5:$G$24,3,FALSE()),1,0))</f>
        <v/>
      </c>
      <c r="AW333" s="28" t="str">
        <f aca="false">IF($A333="","",IF(N(AS332)&gt;0,AV332,AW332))</f>
        <v/>
      </c>
      <c r="AX333" s="27" t="str">
        <f aca="false">IF(OR(AU333="",AW333=""),"",(AU333-AW333)*24)</f>
        <v/>
      </c>
      <c r="AY333" s="21" t="n">
        <f aca="false">IF($A333="","",IF(N(AS333)&gt;0,N(AY332)+1,0))</f>
        <v>0</v>
      </c>
      <c r="AZ333" s="21" t="n">
        <f aca="false">IF($A333="","",IF(N(AT333)&gt;0,N(AZ332)+1,0))</f>
        <v>0</v>
      </c>
      <c r="BA333" s="21" t="str">
        <f aca="false">IF($A333="","",IF(WEEKDAY($A333,2)&lt;&gt;7,"",IF(AND(OR(AU333="",N(AU333)&gt;=$A333+16/24,N(AV333)&lt;=$A333+6/24),OR(AW333="",N(AW333)&lt;=$A333+6/24)),1,0)))</f>
        <v/>
      </c>
    </row>
    <row r="334" customFormat="false" ht="15" hidden="false" customHeight="false" outlineLevel="0" collapsed="false">
      <c r="A334" s="25" t="n">
        <f aca="false">IF(YEAR(DATE(Einstellungen!$C$4,1,1)+329)=Einstellungen!$C$4,DATE(Einstellungen!$C$4,1,1)+329,"")</f>
        <v>46717</v>
      </c>
      <c r="B334" s="26" t="str">
        <f aca="false">IF($A334="","",CHOOSE(WEEKDAY($A334,2),"Mo","Di","Mi","Do","Fr","Sa","So"))</f>
        <v>Fr</v>
      </c>
      <c r="C334" s="26" t="n">
        <f aca="false">IF($A334="","",MONTH($A334))</f>
        <v>11</v>
      </c>
      <c r="D334" s="26" t="str">
        <f aca="false">IF($A334="","",IF(INDEX(Muster!$C$6:$BF$6,1,MOD($A334-Einstellungen!$C$6,Einstellungen!$C$7)+1)="","-",INDEX(Muster!$C$6:$BF$6,1,MOD($A334-Einstellungen!$C$6,Einstellungen!$C$7)+1)))</f>
        <v>-</v>
      </c>
      <c r="E334" s="27" t="n">
        <f aca="false">IF($A334="","",IFERROR(VLOOKUP(D334,Schichten!$A$5:$G$24,6,FALSE()),0))</f>
        <v>0</v>
      </c>
      <c r="F334" s="27" t="n">
        <f aca="false">IF($A334="","",IFERROR(VLOOKUP(D334,Schichten!$A$5:$G$24,7,FALSE()),0))</f>
        <v>0</v>
      </c>
      <c r="G334" s="28" t="str">
        <f aca="false">IF($A334="","",IF(N(E334)=0,"",$A334+VLOOKUP(D334,Schichten!$A$5:$G$24,3,FALSE())))</f>
        <v/>
      </c>
      <c r="H334" s="28" t="str">
        <f aca="false">IF(G334="","",$A334+VLOOKUP(D334,Schichten!$A$5:$G$24,4,FALSE())+IF(VLOOKUP(D334,Schichten!$A$5:$G$24,4,FALSE())&lt;=VLOOKUP(D334,Schichten!$A$5:$G$24,3,FALSE()),1,0))</f>
        <v/>
      </c>
      <c r="I334" s="28" t="n">
        <f aca="false">IF($A334="","",IF(N(E333)&gt;0,H333,I333))</f>
        <v>46717.25</v>
      </c>
      <c r="J334" s="27" t="str">
        <f aca="false">IF(OR(G334="",I334=""),"",(G334-I334)*24)</f>
        <v/>
      </c>
      <c r="K334" s="21" t="n">
        <f aca="false">IF($A334="","",IF(N(E334)&gt;0,N(K333)+1,0))</f>
        <v>0</v>
      </c>
      <c r="L334" s="21" t="n">
        <f aca="false">IF($A334="","",IF(N(F334)&gt;0,N(L333)+1,0))</f>
        <v>0</v>
      </c>
      <c r="M334" s="21" t="str">
        <f aca="false">IF($A334="","",IF(WEEKDAY($A334,2)&lt;&gt;7,"",IF(AND(OR(G334="",N(G334)&gt;=$A334+16/24,N(H334)&lt;=$A334+6/24),OR(I334="",N(I334)&lt;=$A334+6/24)),1,0)))</f>
        <v/>
      </c>
      <c r="N334" s="26" t="str">
        <f aca="false">IF($A334="","",IF(INDEX(Muster!$C$7:$BF$7,1,MOD($A334-Einstellungen!$C$6,Einstellungen!$C$7)+1)="","-",INDEX(Muster!$C$7:$BF$7,1,MOD($A334-Einstellungen!$C$6,Einstellungen!$C$7)+1)))</f>
        <v>N</v>
      </c>
      <c r="O334" s="27" t="n">
        <f aca="false">IF($A334="","",IFERROR(VLOOKUP(N334,Schichten!$A$5:$G$24,6,FALSE()),0))</f>
        <v>8</v>
      </c>
      <c r="P334" s="27" t="n">
        <f aca="false">IF($A334="","",IFERROR(VLOOKUP(N334,Schichten!$A$5:$G$24,7,FALSE()),0))</f>
        <v>7</v>
      </c>
      <c r="Q334" s="28" t="n">
        <f aca="false">IF($A334="","",IF(N(O334)=0,"",$A334+VLOOKUP(N334,Schichten!$A$5:$G$24,3,FALSE())))</f>
        <v>46717.9166666667</v>
      </c>
      <c r="R334" s="28" t="n">
        <f aca="false">IF(Q334="","",$A334+VLOOKUP(N334,Schichten!$A$5:$G$24,4,FALSE())+IF(VLOOKUP(N334,Schichten!$A$5:$G$24,4,FALSE())&lt;=VLOOKUP(N334,Schichten!$A$5:$G$24,3,FALSE()),1,0))</f>
        <v>46718.25</v>
      </c>
      <c r="S334" s="28" t="n">
        <f aca="false">IF($A334="","",IF(N(O333)&gt;0,R333,S333))</f>
        <v>46716.9166666667</v>
      </c>
      <c r="T334" s="27" t="n">
        <f aca="false">IF(OR(Q334="",S334=""),"",(Q334-S334)*24)</f>
        <v>24</v>
      </c>
      <c r="U334" s="21" t="n">
        <f aca="false">IF($A334="","",IF(N(O334)&gt;0,N(U333)+1,0))</f>
        <v>5</v>
      </c>
      <c r="V334" s="21" t="n">
        <f aca="false">IF($A334="","",IF(N(P334)&gt;0,N(V333)+1,0))</f>
        <v>1</v>
      </c>
      <c r="W334" s="21" t="str">
        <f aca="false">IF($A334="","",IF(WEEKDAY($A334,2)&lt;&gt;7,"",IF(AND(OR(Q334="",N(Q334)&gt;=$A334+16/24,N(R334)&lt;=$A334+6/24),OR(S334="",N(S334)&lt;=$A334+6/24)),1,0)))</f>
        <v/>
      </c>
      <c r="X334" s="26" t="str">
        <f aca="false">IF($A334="","",IF(INDEX(Muster!$C$8:$BF$8,1,MOD($A334-Einstellungen!$C$6,Einstellungen!$C$7)+1)="","-",INDEX(Muster!$C$8:$BF$8,1,MOD($A334-Einstellungen!$C$6,Einstellungen!$C$7)+1)))</f>
        <v>S</v>
      </c>
      <c r="Y334" s="27" t="n">
        <f aca="false">IF($A334="","",IFERROR(VLOOKUP(X334,Schichten!$A$5:$G$24,6,FALSE()),0))</f>
        <v>8</v>
      </c>
      <c r="Z334" s="27" t="n">
        <f aca="false">IF($A334="","",IFERROR(VLOOKUP(X334,Schichten!$A$5:$G$24,7,FALSE()),0))</f>
        <v>0</v>
      </c>
      <c r="AA334" s="28" t="n">
        <f aca="false">IF($A334="","",IF(N(Y334)=0,"",$A334+VLOOKUP(X334,Schichten!$A$5:$G$24,3,FALSE())))</f>
        <v>46717.5833333333</v>
      </c>
      <c r="AB334" s="28" t="n">
        <f aca="false">IF(AA334="","",$A334+VLOOKUP(X334,Schichten!$A$5:$G$24,4,FALSE())+IF(VLOOKUP(X334,Schichten!$A$5:$G$24,4,FALSE())&lt;=VLOOKUP(X334,Schichten!$A$5:$G$24,3,FALSE()),1,0))</f>
        <v>46717.9166666667</v>
      </c>
      <c r="AC334" s="28" t="n">
        <f aca="false">IF($A334="","",IF(N(Y333)&gt;0,AB333,AC333))</f>
        <v>46716.5833333333</v>
      </c>
      <c r="AD334" s="27" t="n">
        <f aca="false">IF(OR(AA334="",AC334=""),"",(AA334-AC334)*24)</f>
        <v>24</v>
      </c>
      <c r="AE334" s="21" t="n">
        <f aca="false">IF($A334="","",IF(N(Y334)&gt;0,N(AE333)+1,0))</f>
        <v>3</v>
      </c>
      <c r="AF334" s="21" t="n">
        <f aca="false">IF($A334="","",IF(N(Z334)&gt;0,N(AF333)+1,0))</f>
        <v>0</v>
      </c>
      <c r="AG334" s="21" t="str">
        <f aca="false">IF($A334="","",IF(WEEKDAY($A334,2)&lt;&gt;7,"",IF(AND(OR(AA334="",N(AA334)&gt;=$A334+16/24,N(AB334)&lt;=$A334+6/24),OR(AC334="",N(AC334)&lt;=$A334+6/24)),1,0)))</f>
        <v/>
      </c>
      <c r="AH334" s="26" t="str">
        <f aca="false">IF($A334="","",IF(INDEX(Muster!$C$9:$BF$9,1,MOD($A334-Einstellungen!$C$6,Einstellungen!$C$7)+1)="","-",INDEX(Muster!$C$9:$BF$9,1,MOD($A334-Einstellungen!$C$6,Einstellungen!$C$7)+1)))</f>
        <v>F</v>
      </c>
      <c r="AI334" s="27" t="n">
        <f aca="false">IF($A334="","",IFERROR(VLOOKUP(AH334,Schichten!$A$5:$G$24,6,FALSE()),0))</f>
        <v>8</v>
      </c>
      <c r="AJ334" s="27" t="n">
        <f aca="false">IF($A334="","",IFERROR(VLOOKUP(AH334,Schichten!$A$5:$G$24,7,FALSE()),0))</f>
        <v>0</v>
      </c>
      <c r="AK334" s="28" t="n">
        <f aca="false">IF($A334="","",IF(N(AI334)=0,"",$A334+VLOOKUP(AH334,Schichten!$A$5:$G$24,3,FALSE())))</f>
        <v>46717.25</v>
      </c>
      <c r="AL334" s="28" t="n">
        <f aca="false">IF(AK334="","",$A334+VLOOKUP(AH334,Schichten!$A$5:$G$24,4,FALSE())+IF(VLOOKUP(AH334,Schichten!$A$5:$G$24,4,FALSE())&lt;=VLOOKUP(AH334,Schichten!$A$5:$G$24,3,FALSE()),1,0))</f>
        <v>46717.5833333333</v>
      </c>
      <c r="AM334" s="28" t="n">
        <f aca="false">IF($A334="","",IF(N(AI333)&gt;0,AL333,AM333))</f>
        <v>46715.25</v>
      </c>
      <c r="AN334" s="27" t="n">
        <f aca="false">IF(OR(AK334="",AM334=""),"",(AK334-AM334)*24)</f>
        <v>48</v>
      </c>
      <c r="AO334" s="21" t="n">
        <f aca="false">IF($A334="","",IF(N(AI334)&gt;0,N(AO333)+1,0))</f>
        <v>1</v>
      </c>
      <c r="AP334" s="21" t="n">
        <f aca="false">IF($A334="","",IF(N(AJ334)&gt;0,N(AP333)+1,0))</f>
        <v>0</v>
      </c>
      <c r="AQ334" s="21" t="str">
        <f aca="false">IF($A334="","",IF(WEEKDAY($A334,2)&lt;&gt;7,"",IF(AND(OR(AK334="",N(AK334)&gt;=$A334+16/24,N(AL334)&lt;=$A334+6/24),OR(AM334="",N(AM334)&lt;=$A334+6/24)),1,0)))</f>
        <v/>
      </c>
      <c r="AR334" s="26" t="str">
        <f aca="false">IF($A334="","",IF(INDEX(Muster!$C$10:$BF$10,1,MOD($A334-Einstellungen!$C$6,Einstellungen!$C$7)+1)="","-",INDEX(Muster!$C$10:$BF$10,1,MOD($A334-Einstellungen!$C$6,Einstellungen!$C$7)+1)))</f>
        <v>-</v>
      </c>
      <c r="AS334" s="27" t="n">
        <f aca="false">IF($A334="","",IFERROR(VLOOKUP(AR334,Schichten!$A$5:$G$24,6,FALSE()),0))</f>
        <v>0</v>
      </c>
      <c r="AT334" s="27" t="n">
        <f aca="false">IF($A334="","",IFERROR(VLOOKUP(AR334,Schichten!$A$5:$G$24,7,FALSE()),0))</f>
        <v>0</v>
      </c>
      <c r="AU334" s="28" t="str">
        <f aca="false">IF($A334="","",IF(N(AS334)=0,"",$A334+VLOOKUP(AR334,Schichten!$A$5:$G$24,3,FALSE())))</f>
        <v/>
      </c>
      <c r="AV334" s="28" t="str">
        <f aca="false">IF(AU334="","",$A334+VLOOKUP(AR334,Schichten!$A$5:$G$24,4,FALSE())+IF(VLOOKUP(AR334,Schichten!$A$5:$G$24,4,FALSE())&lt;=VLOOKUP(AR334,Schichten!$A$5:$G$24,3,FALSE()),1,0))</f>
        <v/>
      </c>
      <c r="AW334" s="28" t="str">
        <f aca="false">IF($A334="","",IF(N(AS333)&gt;0,AV333,AW333))</f>
        <v/>
      </c>
      <c r="AX334" s="27" t="str">
        <f aca="false">IF(OR(AU334="",AW334=""),"",(AU334-AW334)*24)</f>
        <v/>
      </c>
      <c r="AY334" s="21" t="n">
        <f aca="false">IF($A334="","",IF(N(AS334)&gt;0,N(AY333)+1,0))</f>
        <v>0</v>
      </c>
      <c r="AZ334" s="21" t="n">
        <f aca="false">IF($A334="","",IF(N(AT334)&gt;0,N(AZ333)+1,0))</f>
        <v>0</v>
      </c>
      <c r="BA334" s="21" t="str">
        <f aca="false">IF($A334="","",IF(WEEKDAY($A334,2)&lt;&gt;7,"",IF(AND(OR(AU334="",N(AU334)&gt;=$A334+16/24,N(AV334)&lt;=$A334+6/24),OR(AW334="",N(AW334)&lt;=$A334+6/24)),1,0)))</f>
        <v/>
      </c>
    </row>
    <row r="335" customFormat="false" ht="15" hidden="false" customHeight="false" outlineLevel="0" collapsed="false">
      <c r="A335" s="25" t="n">
        <f aca="false">IF(YEAR(DATE(Einstellungen!$C$4,1,1)+330)=Einstellungen!$C$4,DATE(Einstellungen!$C$4,1,1)+330,"")</f>
        <v>46718</v>
      </c>
      <c r="B335" s="26" t="str">
        <f aca="false">IF($A335="","",CHOOSE(WEEKDAY($A335,2),"Mo","Di","Mi","Do","Fr","Sa","So"))</f>
        <v>Sa</v>
      </c>
      <c r="C335" s="26" t="n">
        <f aca="false">IF($A335="","",MONTH($A335))</f>
        <v>11</v>
      </c>
      <c r="D335" s="26" t="str">
        <f aca="false">IF($A335="","",IF(INDEX(Muster!$C$6:$BF$6,1,MOD($A335-Einstellungen!$C$6,Einstellungen!$C$7)+1)="","-",INDEX(Muster!$C$6:$BF$6,1,MOD($A335-Einstellungen!$C$6,Einstellungen!$C$7)+1)))</f>
        <v>-</v>
      </c>
      <c r="E335" s="27" t="n">
        <f aca="false">IF($A335="","",IFERROR(VLOOKUP(D335,Schichten!$A$5:$G$24,6,FALSE()),0))</f>
        <v>0</v>
      </c>
      <c r="F335" s="27" t="n">
        <f aca="false">IF($A335="","",IFERROR(VLOOKUP(D335,Schichten!$A$5:$G$24,7,FALSE()),0))</f>
        <v>0</v>
      </c>
      <c r="G335" s="28" t="str">
        <f aca="false">IF($A335="","",IF(N(E335)=0,"",$A335+VLOOKUP(D335,Schichten!$A$5:$G$24,3,FALSE())))</f>
        <v/>
      </c>
      <c r="H335" s="28" t="str">
        <f aca="false">IF(G335="","",$A335+VLOOKUP(D335,Schichten!$A$5:$G$24,4,FALSE())+IF(VLOOKUP(D335,Schichten!$A$5:$G$24,4,FALSE())&lt;=VLOOKUP(D335,Schichten!$A$5:$G$24,3,FALSE()),1,0))</f>
        <v/>
      </c>
      <c r="I335" s="28" t="n">
        <f aca="false">IF($A335="","",IF(N(E334)&gt;0,H334,I334))</f>
        <v>46717.25</v>
      </c>
      <c r="J335" s="27" t="str">
        <f aca="false">IF(OR(G335="",I335=""),"",(G335-I335)*24)</f>
        <v/>
      </c>
      <c r="K335" s="21" t="n">
        <f aca="false">IF($A335="","",IF(N(E335)&gt;0,N(K334)+1,0))</f>
        <v>0</v>
      </c>
      <c r="L335" s="21" t="n">
        <f aca="false">IF($A335="","",IF(N(F335)&gt;0,N(L334)+1,0))</f>
        <v>0</v>
      </c>
      <c r="M335" s="21" t="str">
        <f aca="false">IF($A335="","",IF(WEEKDAY($A335,2)&lt;&gt;7,"",IF(AND(OR(G335="",N(G335)&gt;=$A335+16/24,N(H335)&lt;=$A335+6/24),OR(I335="",N(I335)&lt;=$A335+6/24)),1,0)))</f>
        <v/>
      </c>
      <c r="N335" s="26" t="str">
        <f aca="false">IF($A335="","",IF(INDEX(Muster!$C$7:$BF$7,1,MOD($A335-Einstellungen!$C$6,Einstellungen!$C$7)+1)="","-",INDEX(Muster!$C$7:$BF$7,1,MOD($A335-Einstellungen!$C$6,Einstellungen!$C$7)+1)))</f>
        <v>N</v>
      </c>
      <c r="O335" s="27" t="n">
        <f aca="false">IF($A335="","",IFERROR(VLOOKUP(N335,Schichten!$A$5:$G$24,6,FALSE()),0))</f>
        <v>8</v>
      </c>
      <c r="P335" s="27" t="n">
        <f aca="false">IF($A335="","",IFERROR(VLOOKUP(N335,Schichten!$A$5:$G$24,7,FALSE()),0))</f>
        <v>7</v>
      </c>
      <c r="Q335" s="28" t="n">
        <f aca="false">IF($A335="","",IF(N(O335)=0,"",$A335+VLOOKUP(N335,Schichten!$A$5:$G$24,3,FALSE())))</f>
        <v>46718.9166666667</v>
      </c>
      <c r="R335" s="28" t="n">
        <f aca="false">IF(Q335="","",$A335+VLOOKUP(N335,Schichten!$A$5:$G$24,4,FALSE())+IF(VLOOKUP(N335,Schichten!$A$5:$G$24,4,FALSE())&lt;=VLOOKUP(N335,Schichten!$A$5:$G$24,3,FALSE()),1,0))</f>
        <v>46719.25</v>
      </c>
      <c r="S335" s="28" t="n">
        <f aca="false">IF($A335="","",IF(N(O334)&gt;0,R334,S334))</f>
        <v>46718.25</v>
      </c>
      <c r="T335" s="27" t="n">
        <f aca="false">IF(OR(Q335="",S335=""),"",(Q335-S335)*24)</f>
        <v>16</v>
      </c>
      <c r="U335" s="21" t="n">
        <f aca="false">IF($A335="","",IF(N(O335)&gt;0,N(U334)+1,0))</f>
        <v>6</v>
      </c>
      <c r="V335" s="21" t="n">
        <f aca="false">IF($A335="","",IF(N(P335)&gt;0,N(V334)+1,0))</f>
        <v>2</v>
      </c>
      <c r="W335" s="21" t="str">
        <f aca="false">IF($A335="","",IF(WEEKDAY($A335,2)&lt;&gt;7,"",IF(AND(OR(Q335="",N(Q335)&gt;=$A335+16/24,N(R335)&lt;=$A335+6/24),OR(S335="",N(S335)&lt;=$A335+6/24)),1,0)))</f>
        <v/>
      </c>
      <c r="X335" s="26" t="str">
        <f aca="false">IF($A335="","",IF(INDEX(Muster!$C$8:$BF$8,1,MOD($A335-Einstellungen!$C$6,Einstellungen!$C$7)+1)="","-",INDEX(Muster!$C$8:$BF$8,1,MOD($A335-Einstellungen!$C$6,Einstellungen!$C$7)+1)))</f>
        <v>S</v>
      </c>
      <c r="Y335" s="27" t="n">
        <f aca="false">IF($A335="","",IFERROR(VLOOKUP(X335,Schichten!$A$5:$G$24,6,FALSE()),0))</f>
        <v>8</v>
      </c>
      <c r="Z335" s="27" t="n">
        <f aca="false">IF($A335="","",IFERROR(VLOOKUP(X335,Schichten!$A$5:$G$24,7,FALSE()),0))</f>
        <v>0</v>
      </c>
      <c r="AA335" s="28" t="n">
        <f aca="false">IF($A335="","",IF(N(Y335)=0,"",$A335+VLOOKUP(X335,Schichten!$A$5:$G$24,3,FALSE())))</f>
        <v>46718.5833333333</v>
      </c>
      <c r="AB335" s="28" t="n">
        <f aca="false">IF(AA335="","",$A335+VLOOKUP(X335,Schichten!$A$5:$G$24,4,FALSE())+IF(VLOOKUP(X335,Schichten!$A$5:$G$24,4,FALSE())&lt;=VLOOKUP(X335,Schichten!$A$5:$G$24,3,FALSE()),1,0))</f>
        <v>46718.9166666667</v>
      </c>
      <c r="AC335" s="28" t="n">
        <f aca="false">IF($A335="","",IF(N(Y334)&gt;0,AB334,AC334))</f>
        <v>46717.9166666667</v>
      </c>
      <c r="AD335" s="27" t="n">
        <f aca="false">IF(OR(AA335="",AC335=""),"",(AA335-AC335)*24)</f>
        <v>16</v>
      </c>
      <c r="AE335" s="21" t="n">
        <f aca="false">IF($A335="","",IF(N(Y335)&gt;0,N(AE334)+1,0))</f>
        <v>4</v>
      </c>
      <c r="AF335" s="21" t="n">
        <f aca="false">IF($A335="","",IF(N(Z335)&gt;0,N(AF334)+1,0))</f>
        <v>0</v>
      </c>
      <c r="AG335" s="21" t="str">
        <f aca="false">IF($A335="","",IF(WEEKDAY($A335,2)&lt;&gt;7,"",IF(AND(OR(AA335="",N(AA335)&gt;=$A335+16/24,N(AB335)&lt;=$A335+6/24),OR(AC335="",N(AC335)&lt;=$A335+6/24)),1,0)))</f>
        <v/>
      </c>
      <c r="AH335" s="26" t="str">
        <f aca="false">IF($A335="","",IF(INDEX(Muster!$C$9:$BF$9,1,MOD($A335-Einstellungen!$C$6,Einstellungen!$C$7)+1)="","-",INDEX(Muster!$C$9:$BF$9,1,MOD($A335-Einstellungen!$C$6,Einstellungen!$C$7)+1)))</f>
        <v>F</v>
      </c>
      <c r="AI335" s="27" t="n">
        <f aca="false">IF($A335="","",IFERROR(VLOOKUP(AH335,Schichten!$A$5:$G$24,6,FALSE()),0))</f>
        <v>8</v>
      </c>
      <c r="AJ335" s="27" t="n">
        <f aca="false">IF($A335="","",IFERROR(VLOOKUP(AH335,Schichten!$A$5:$G$24,7,FALSE()),0))</f>
        <v>0</v>
      </c>
      <c r="AK335" s="28" t="n">
        <f aca="false">IF($A335="","",IF(N(AI335)=0,"",$A335+VLOOKUP(AH335,Schichten!$A$5:$G$24,3,FALSE())))</f>
        <v>46718.25</v>
      </c>
      <c r="AL335" s="28" t="n">
        <f aca="false">IF(AK335="","",$A335+VLOOKUP(AH335,Schichten!$A$5:$G$24,4,FALSE())+IF(VLOOKUP(AH335,Schichten!$A$5:$G$24,4,FALSE())&lt;=VLOOKUP(AH335,Schichten!$A$5:$G$24,3,FALSE()),1,0))</f>
        <v>46718.5833333333</v>
      </c>
      <c r="AM335" s="28" t="n">
        <f aca="false">IF($A335="","",IF(N(AI334)&gt;0,AL334,AM334))</f>
        <v>46717.5833333333</v>
      </c>
      <c r="AN335" s="27" t="n">
        <f aca="false">IF(OR(AK335="",AM335=""),"",(AK335-AM335)*24)</f>
        <v>16</v>
      </c>
      <c r="AO335" s="21" t="n">
        <f aca="false">IF($A335="","",IF(N(AI335)&gt;0,N(AO334)+1,0))</f>
        <v>2</v>
      </c>
      <c r="AP335" s="21" t="n">
        <f aca="false">IF($A335="","",IF(N(AJ335)&gt;0,N(AP334)+1,0))</f>
        <v>0</v>
      </c>
      <c r="AQ335" s="21" t="str">
        <f aca="false">IF($A335="","",IF(WEEKDAY($A335,2)&lt;&gt;7,"",IF(AND(OR(AK335="",N(AK335)&gt;=$A335+16/24,N(AL335)&lt;=$A335+6/24),OR(AM335="",N(AM335)&lt;=$A335+6/24)),1,0)))</f>
        <v/>
      </c>
      <c r="AR335" s="26" t="str">
        <f aca="false">IF($A335="","",IF(INDEX(Muster!$C$10:$BF$10,1,MOD($A335-Einstellungen!$C$6,Einstellungen!$C$7)+1)="","-",INDEX(Muster!$C$10:$BF$10,1,MOD($A335-Einstellungen!$C$6,Einstellungen!$C$7)+1)))</f>
        <v>-</v>
      </c>
      <c r="AS335" s="27" t="n">
        <f aca="false">IF($A335="","",IFERROR(VLOOKUP(AR335,Schichten!$A$5:$G$24,6,FALSE()),0))</f>
        <v>0</v>
      </c>
      <c r="AT335" s="27" t="n">
        <f aca="false">IF($A335="","",IFERROR(VLOOKUP(AR335,Schichten!$A$5:$G$24,7,FALSE()),0))</f>
        <v>0</v>
      </c>
      <c r="AU335" s="28" t="str">
        <f aca="false">IF($A335="","",IF(N(AS335)=0,"",$A335+VLOOKUP(AR335,Schichten!$A$5:$G$24,3,FALSE())))</f>
        <v/>
      </c>
      <c r="AV335" s="28" t="str">
        <f aca="false">IF(AU335="","",$A335+VLOOKUP(AR335,Schichten!$A$5:$G$24,4,FALSE())+IF(VLOOKUP(AR335,Schichten!$A$5:$G$24,4,FALSE())&lt;=VLOOKUP(AR335,Schichten!$A$5:$G$24,3,FALSE()),1,0))</f>
        <v/>
      </c>
      <c r="AW335" s="28" t="str">
        <f aca="false">IF($A335="","",IF(N(AS334)&gt;0,AV334,AW334))</f>
        <v/>
      </c>
      <c r="AX335" s="27" t="str">
        <f aca="false">IF(OR(AU335="",AW335=""),"",(AU335-AW335)*24)</f>
        <v/>
      </c>
      <c r="AY335" s="21" t="n">
        <f aca="false">IF($A335="","",IF(N(AS335)&gt;0,N(AY334)+1,0))</f>
        <v>0</v>
      </c>
      <c r="AZ335" s="21" t="n">
        <f aca="false">IF($A335="","",IF(N(AT335)&gt;0,N(AZ334)+1,0))</f>
        <v>0</v>
      </c>
      <c r="BA335" s="21" t="str">
        <f aca="false">IF($A335="","",IF(WEEKDAY($A335,2)&lt;&gt;7,"",IF(AND(OR(AU335="",N(AU335)&gt;=$A335+16/24,N(AV335)&lt;=$A335+6/24),OR(AW335="",N(AW335)&lt;=$A335+6/24)),1,0)))</f>
        <v/>
      </c>
    </row>
    <row r="336" customFormat="false" ht="15" hidden="false" customHeight="false" outlineLevel="0" collapsed="false">
      <c r="A336" s="25" t="n">
        <f aca="false">IF(YEAR(DATE(Einstellungen!$C$4,1,1)+331)=Einstellungen!$C$4,DATE(Einstellungen!$C$4,1,1)+331,"")</f>
        <v>46719</v>
      </c>
      <c r="B336" s="26" t="str">
        <f aca="false">IF($A336="","",CHOOSE(WEEKDAY($A336,2),"Mo","Di","Mi","Do","Fr","Sa","So"))</f>
        <v>So</v>
      </c>
      <c r="C336" s="26" t="n">
        <f aca="false">IF($A336="","",MONTH($A336))</f>
        <v>11</v>
      </c>
      <c r="D336" s="26" t="str">
        <f aca="false">IF($A336="","",IF(INDEX(Muster!$C$6:$BF$6,1,MOD($A336-Einstellungen!$C$6,Einstellungen!$C$7)+1)="","-",INDEX(Muster!$C$6:$BF$6,1,MOD($A336-Einstellungen!$C$6,Einstellungen!$C$7)+1)))</f>
        <v>F</v>
      </c>
      <c r="E336" s="27" t="n">
        <f aca="false">IF($A336="","",IFERROR(VLOOKUP(D336,Schichten!$A$5:$G$24,6,FALSE()),0))</f>
        <v>8</v>
      </c>
      <c r="F336" s="27" t="n">
        <f aca="false">IF($A336="","",IFERROR(VLOOKUP(D336,Schichten!$A$5:$G$24,7,FALSE()),0))</f>
        <v>0</v>
      </c>
      <c r="G336" s="28" t="n">
        <f aca="false">IF($A336="","",IF(N(E336)=0,"",$A336+VLOOKUP(D336,Schichten!$A$5:$G$24,3,FALSE())))</f>
        <v>46719.25</v>
      </c>
      <c r="H336" s="28" t="n">
        <f aca="false">IF(G336="","",$A336+VLOOKUP(D336,Schichten!$A$5:$G$24,4,FALSE())+IF(VLOOKUP(D336,Schichten!$A$5:$G$24,4,FALSE())&lt;=VLOOKUP(D336,Schichten!$A$5:$G$24,3,FALSE()),1,0))</f>
        <v>46719.5833333333</v>
      </c>
      <c r="I336" s="28" t="n">
        <f aca="false">IF($A336="","",IF(N(E335)&gt;0,H335,I335))</f>
        <v>46717.25</v>
      </c>
      <c r="J336" s="27" t="n">
        <f aca="false">IF(OR(G336="",I336=""),"",(G336-I336)*24)</f>
        <v>48</v>
      </c>
      <c r="K336" s="21" t="n">
        <f aca="false">IF($A336="","",IF(N(E336)&gt;0,N(K335)+1,0))</f>
        <v>1</v>
      </c>
      <c r="L336" s="21" t="n">
        <f aca="false">IF($A336="","",IF(N(F336)&gt;0,N(L335)+1,0))</f>
        <v>0</v>
      </c>
      <c r="M336" s="21" t="n">
        <f aca="false">IF($A336="","",IF(WEEKDAY($A336,2)&lt;&gt;7,"",IF(AND(OR(G336="",N(G336)&gt;=$A336+16/24,N(H336)&lt;=$A336+6/24),OR(I336="",N(I336)&lt;=$A336+6/24)),1,0)))</f>
        <v>0</v>
      </c>
      <c r="N336" s="26" t="str">
        <f aca="false">IF($A336="","",IF(INDEX(Muster!$C$7:$BF$7,1,MOD($A336-Einstellungen!$C$6,Einstellungen!$C$7)+1)="","-",INDEX(Muster!$C$7:$BF$7,1,MOD($A336-Einstellungen!$C$6,Einstellungen!$C$7)+1)))</f>
        <v>-</v>
      </c>
      <c r="O336" s="27" t="n">
        <f aca="false">IF($A336="","",IFERROR(VLOOKUP(N336,Schichten!$A$5:$G$24,6,FALSE()),0))</f>
        <v>0</v>
      </c>
      <c r="P336" s="27" t="n">
        <f aca="false">IF($A336="","",IFERROR(VLOOKUP(N336,Schichten!$A$5:$G$24,7,FALSE()),0))</f>
        <v>0</v>
      </c>
      <c r="Q336" s="28" t="str">
        <f aca="false">IF($A336="","",IF(N(O336)=0,"",$A336+VLOOKUP(N336,Schichten!$A$5:$G$24,3,FALSE())))</f>
        <v/>
      </c>
      <c r="R336" s="28" t="str">
        <f aca="false">IF(Q336="","",$A336+VLOOKUP(N336,Schichten!$A$5:$G$24,4,FALSE())+IF(VLOOKUP(N336,Schichten!$A$5:$G$24,4,FALSE())&lt;=VLOOKUP(N336,Schichten!$A$5:$G$24,3,FALSE()),1,0))</f>
        <v/>
      </c>
      <c r="S336" s="28" t="n">
        <f aca="false">IF($A336="","",IF(N(O335)&gt;0,R335,S335))</f>
        <v>46719.25</v>
      </c>
      <c r="T336" s="27" t="str">
        <f aca="false">IF(OR(Q336="",S336=""),"",(Q336-S336)*24)</f>
        <v/>
      </c>
      <c r="U336" s="21" t="n">
        <f aca="false">IF($A336="","",IF(N(O336)&gt;0,N(U335)+1,0))</f>
        <v>0</v>
      </c>
      <c r="V336" s="21" t="n">
        <f aca="false">IF($A336="","",IF(N(P336)&gt;0,N(V335)+1,0))</f>
        <v>0</v>
      </c>
      <c r="W336" s="21" t="n">
        <f aca="false">IF($A336="","",IF(WEEKDAY($A336,2)&lt;&gt;7,"",IF(AND(OR(Q336="",N(Q336)&gt;=$A336+16/24,N(R336)&lt;=$A336+6/24),OR(S336="",N(S336)&lt;=$A336+6/24)),1,0)))</f>
        <v>1</v>
      </c>
      <c r="X336" s="26" t="str">
        <f aca="false">IF($A336="","",IF(INDEX(Muster!$C$8:$BF$8,1,MOD($A336-Einstellungen!$C$6,Einstellungen!$C$7)+1)="","-",INDEX(Muster!$C$8:$BF$8,1,MOD($A336-Einstellungen!$C$6,Einstellungen!$C$7)+1)))</f>
        <v>N</v>
      </c>
      <c r="Y336" s="27" t="n">
        <f aca="false">IF($A336="","",IFERROR(VLOOKUP(X336,Schichten!$A$5:$G$24,6,FALSE()),0))</f>
        <v>8</v>
      </c>
      <c r="Z336" s="27" t="n">
        <f aca="false">IF($A336="","",IFERROR(VLOOKUP(X336,Schichten!$A$5:$G$24,7,FALSE()),0))</f>
        <v>7</v>
      </c>
      <c r="AA336" s="28" t="n">
        <f aca="false">IF($A336="","",IF(N(Y336)=0,"",$A336+VLOOKUP(X336,Schichten!$A$5:$G$24,3,FALSE())))</f>
        <v>46719.9166666667</v>
      </c>
      <c r="AB336" s="28" t="n">
        <f aca="false">IF(AA336="","",$A336+VLOOKUP(X336,Schichten!$A$5:$G$24,4,FALSE())+IF(VLOOKUP(X336,Schichten!$A$5:$G$24,4,FALSE())&lt;=VLOOKUP(X336,Schichten!$A$5:$G$24,3,FALSE()),1,0))</f>
        <v>46720.25</v>
      </c>
      <c r="AC336" s="28" t="n">
        <f aca="false">IF($A336="","",IF(N(Y335)&gt;0,AB335,AC335))</f>
        <v>46718.9166666667</v>
      </c>
      <c r="AD336" s="27" t="n">
        <f aca="false">IF(OR(AA336="",AC336=""),"",(AA336-AC336)*24)</f>
        <v>24</v>
      </c>
      <c r="AE336" s="21" t="n">
        <f aca="false">IF($A336="","",IF(N(Y336)&gt;0,N(AE335)+1,0))</f>
        <v>5</v>
      </c>
      <c r="AF336" s="21" t="n">
        <f aca="false">IF($A336="","",IF(N(Z336)&gt;0,N(AF335)+1,0))</f>
        <v>1</v>
      </c>
      <c r="AG336" s="21" t="n">
        <f aca="false">IF($A336="","",IF(WEEKDAY($A336,2)&lt;&gt;7,"",IF(AND(OR(AA336="",N(AA336)&gt;=$A336+16/24,N(AB336)&lt;=$A336+6/24),OR(AC336="",N(AC336)&lt;=$A336+6/24)),1,0)))</f>
        <v>1</v>
      </c>
      <c r="AH336" s="26" t="str">
        <f aca="false">IF($A336="","",IF(INDEX(Muster!$C$9:$BF$9,1,MOD($A336-Einstellungen!$C$6,Einstellungen!$C$7)+1)="","-",INDEX(Muster!$C$9:$BF$9,1,MOD($A336-Einstellungen!$C$6,Einstellungen!$C$7)+1)))</f>
        <v>S</v>
      </c>
      <c r="AI336" s="27" t="n">
        <f aca="false">IF($A336="","",IFERROR(VLOOKUP(AH336,Schichten!$A$5:$G$24,6,FALSE()),0))</f>
        <v>8</v>
      </c>
      <c r="AJ336" s="27" t="n">
        <f aca="false">IF($A336="","",IFERROR(VLOOKUP(AH336,Schichten!$A$5:$G$24,7,FALSE()),0))</f>
        <v>0</v>
      </c>
      <c r="AK336" s="28" t="n">
        <f aca="false">IF($A336="","",IF(N(AI336)=0,"",$A336+VLOOKUP(AH336,Schichten!$A$5:$G$24,3,FALSE())))</f>
        <v>46719.5833333333</v>
      </c>
      <c r="AL336" s="28" t="n">
        <f aca="false">IF(AK336="","",$A336+VLOOKUP(AH336,Schichten!$A$5:$G$24,4,FALSE())+IF(VLOOKUP(AH336,Schichten!$A$5:$G$24,4,FALSE())&lt;=VLOOKUP(AH336,Schichten!$A$5:$G$24,3,FALSE()),1,0))</f>
        <v>46719.9166666667</v>
      </c>
      <c r="AM336" s="28" t="n">
        <f aca="false">IF($A336="","",IF(N(AI335)&gt;0,AL335,AM335))</f>
        <v>46718.5833333333</v>
      </c>
      <c r="AN336" s="27" t="n">
        <f aca="false">IF(OR(AK336="",AM336=""),"",(AK336-AM336)*24)</f>
        <v>24</v>
      </c>
      <c r="AO336" s="21" t="n">
        <f aca="false">IF($A336="","",IF(N(AI336)&gt;0,N(AO335)+1,0))</f>
        <v>3</v>
      </c>
      <c r="AP336" s="21" t="n">
        <f aca="false">IF($A336="","",IF(N(AJ336)&gt;0,N(AP335)+1,0))</f>
        <v>0</v>
      </c>
      <c r="AQ336" s="21" t="n">
        <f aca="false">IF($A336="","",IF(WEEKDAY($A336,2)&lt;&gt;7,"",IF(AND(OR(AK336="",N(AK336)&gt;=$A336+16/24,N(AL336)&lt;=$A336+6/24),OR(AM336="",N(AM336)&lt;=$A336+6/24)),1,0)))</f>
        <v>0</v>
      </c>
      <c r="AR336" s="26" t="str">
        <f aca="false">IF($A336="","",IF(INDEX(Muster!$C$10:$BF$10,1,MOD($A336-Einstellungen!$C$6,Einstellungen!$C$7)+1)="","-",INDEX(Muster!$C$10:$BF$10,1,MOD($A336-Einstellungen!$C$6,Einstellungen!$C$7)+1)))</f>
        <v>-</v>
      </c>
      <c r="AS336" s="27" t="n">
        <f aca="false">IF($A336="","",IFERROR(VLOOKUP(AR336,Schichten!$A$5:$G$24,6,FALSE()),0))</f>
        <v>0</v>
      </c>
      <c r="AT336" s="27" t="n">
        <f aca="false">IF($A336="","",IFERROR(VLOOKUP(AR336,Schichten!$A$5:$G$24,7,FALSE()),0))</f>
        <v>0</v>
      </c>
      <c r="AU336" s="28" t="str">
        <f aca="false">IF($A336="","",IF(N(AS336)=0,"",$A336+VLOOKUP(AR336,Schichten!$A$5:$G$24,3,FALSE())))</f>
        <v/>
      </c>
      <c r="AV336" s="28" t="str">
        <f aca="false">IF(AU336="","",$A336+VLOOKUP(AR336,Schichten!$A$5:$G$24,4,FALSE())+IF(VLOOKUP(AR336,Schichten!$A$5:$G$24,4,FALSE())&lt;=VLOOKUP(AR336,Schichten!$A$5:$G$24,3,FALSE()),1,0))</f>
        <v/>
      </c>
      <c r="AW336" s="28" t="str">
        <f aca="false">IF($A336="","",IF(N(AS335)&gt;0,AV335,AW335))</f>
        <v/>
      </c>
      <c r="AX336" s="27" t="str">
        <f aca="false">IF(OR(AU336="",AW336=""),"",(AU336-AW336)*24)</f>
        <v/>
      </c>
      <c r="AY336" s="21" t="n">
        <f aca="false">IF($A336="","",IF(N(AS336)&gt;0,N(AY335)+1,0))</f>
        <v>0</v>
      </c>
      <c r="AZ336" s="21" t="n">
        <f aca="false">IF($A336="","",IF(N(AT336)&gt;0,N(AZ335)+1,0))</f>
        <v>0</v>
      </c>
      <c r="BA336" s="21" t="n">
        <f aca="false">IF($A336="","",IF(WEEKDAY($A336,2)&lt;&gt;7,"",IF(AND(OR(AU336="",N(AU336)&gt;=$A336+16/24,N(AV336)&lt;=$A336+6/24),OR(AW336="",N(AW336)&lt;=$A336+6/24)),1,0)))</f>
        <v>1</v>
      </c>
    </row>
    <row r="337" customFormat="false" ht="15" hidden="false" customHeight="false" outlineLevel="0" collapsed="false">
      <c r="A337" s="25" t="n">
        <f aca="false">IF(YEAR(DATE(Einstellungen!$C$4,1,1)+332)=Einstellungen!$C$4,DATE(Einstellungen!$C$4,1,1)+332,"")</f>
        <v>46720</v>
      </c>
      <c r="B337" s="26" t="str">
        <f aca="false">IF($A337="","",CHOOSE(WEEKDAY($A337,2),"Mo","Di","Mi","Do","Fr","Sa","So"))</f>
        <v>Mo</v>
      </c>
      <c r="C337" s="26" t="n">
        <f aca="false">IF($A337="","",MONTH($A337))</f>
        <v>11</v>
      </c>
      <c r="D337" s="26" t="str">
        <f aca="false">IF($A337="","",IF(INDEX(Muster!$C$6:$BF$6,1,MOD($A337-Einstellungen!$C$6,Einstellungen!$C$7)+1)="","-",INDEX(Muster!$C$6:$BF$6,1,MOD($A337-Einstellungen!$C$6,Einstellungen!$C$7)+1)))</f>
        <v>F</v>
      </c>
      <c r="E337" s="27" t="n">
        <f aca="false">IF($A337="","",IFERROR(VLOOKUP(D337,Schichten!$A$5:$G$24,6,FALSE()),0))</f>
        <v>8</v>
      </c>
      <c r="F337" s="27" t="n">
        <f aca="false">IF($A337="","",IFERROR(VLOOKUP(D337,Schichten!$A$5:$G$24,7,FALSE()),0))</f>
        <v>0</v>
      </c>
      <c r="G337" s="28" t="n">
        <f aca="false">IF($A337="","",IF(N(E337)=0,"",$A337+VLOOKUP(D337,Schichten!$A$5:$G$24,3,FALSE())))</f>
        <v>46720.25</v>
      </c>
      <c r="H337" s="28" t="n">
        <f aca="false">IF(G337="","",$A337+VLOOKUP(D337,Schichten!$A$5:$G$24,4,FALSE())+IF(VLOOKUP(D337,Schichten!$A$5:$G$24,4,FALSE())&lt;=VLOOKUP(D337,Schichten!$A$5:$G$24,3,FALSE()),1,0))</f>
        <v>46720.5833333333</v>
      </c>
      <c r="I337" s="28" t="n">
        <f aca="false">IF($A337="","",IF(N(E336)&gt;0,H336,I336))</f>
        <v>46719.5833333333</v>
      </c>
      <c r="J337" s="27" t="n">
        <f aca="false">IF(OR(G337="",I337=""),"",(G337-I337)*24)</f>
        <v>16</v>
      </c>
      <c r="K337" s="21" t="n">
        <f aca="false">IF($A337="","",IF(N(E337)&gt;0,N(K336)+1,0))</f>
        <v>2</v>
      </c>
      <c r="L337" s="21" t="n">
        <f aca="false">IF($A337="","",IF(N(F337)&gt;0,N(L336)+1,0))</f>
        <v>0</v>
      </c>
      <c r="M337" s="21" t="str">
        <f aca="false">IF($A337="","",IF(WEEKDAY($A337,2)&lt;&gt;7,"",IF(AND(OR(G337="",N(G337)&gt;=$A337+16/24,N(H337)&lt;=$A337+6/24),OR(I337="",N(I337)&lt;=$A337+6/24)),1,0)))</f>
        <v/>
      </c>
      <c r="N337" s="26" t="str">
        <f aca="false">IF($A337="","",IF(INDEX(Muster!$C$7:$BF$7,1,MOD($A337-Einstellungen!$C$6,Einstellungen!$C$7)+1)="","-",INDEX(Muster!$C$7:$BF$7,1,MOD($A337-Einstellungen!$C$6,Einstellungen!$C$7)+1)))</f>
        <v>-</v>
      </c>
      <c r="O337" s="27" t="n">
        <f aca="false">IF($A337="","",IFERROR(VLOOKUP(N337,Schichten!$A$5:$G$24,6,FALSE()),0))</f>
        <v>0</v>
      </c>
      <c r="P337" s="27" t="n">
        <f aca="false">IF($A337="","",IFERROR(VLOOKUP(N337,Schichten!$A$5:$G$24,7,FALSE()),0))</f>
        <v>0</v>
      </c>
      <c r="Q337" s="28" t="str">
        <f aca="false">IF($A337="","",IF(N(O337)=0,"",$A337+VLOOKUP(N337,Schichten!$A$5:$G$24,3,FALSE())))</f>
        <v/>
      </c>
      <c r="R337" s="28" t="str">
        <f aca="false">IF(Q337="","",$A337+VLOOKUP(N337,Schichten!$A$5:$G$24,4,FALSE())+IF(VLOOKUP(N337,Schichten!$A$5:$G$24,4,FALSE())&lt;=VLOOKUP(N337,Schichten!$A$5:$G$24,3,FALSE()),1,0))</f>
        <v/>
      </c>
      <c r="S337" s="28" t="n">
        <f aca="false">IF($A337="","",IF(N(O336)&gt;0,R336,S336))</f>
        <v>46719.25</v>
      </c>
      <c r="T337" s="27" t="str">
        <f aca="false">IF(OR(Q337="",S337=""),"",(Q337-S337)*24)</f>
        <v/>
      </c>
      <c r="U337" s="21" t="n">
        <f aca="false">IF($A337="","",IF(N(O337)&gt;0,N(U336)+1,0))</f>
        <v>0</v>
      </c>
      <c r="V337" s="21" t="n">
        <f aca="false">IF($A337="","",IF(N(P337)&gt;0,N(V336)+1,0))</f>
        <v>0</v>
      </c>
      <c r="W337" s="21" t="str">
        <f aca="false">IF($A337="","",IF(WEEKDAY($A337,2)&lt;&gt;7,"",IF(AND(OR(Q337="",N(Q337)&gt;=$A337+16/24,N(R337)&lt;=$A337+6/24),OR(S337="",N(S337)&lt;=$A337+6/24)),1,0)))</f>
        <v/>
      </c>
      <c r="X337" s="26" t="str">
        <f aca="false">IF($A337="","",IF(INDEX(Muster!$C$8:$BF$8,1,MOD($A337-Einstellungen!$C$6,Einstellungen!$C$7)+1)="","-",INDEX(Muster!$C$8:$BF$8,1,MOD($A337-Einstellungen!$C$6,Einstellungen!$C$7)+1)))</f>
        <v>N</v>
      </c>
      <c r="Y337" s="27" t="n">
        <f aca="false">IF($A337="","",IFERROR(VLOOKUP(X337,Schichten!$A$5:$G$24,6,FALSE()),0))</f>
        <v>8</v>
      </c>
      <c r="Z337" s="27" t="n">
        <f aca="false">IF($A337="","",IFERROR(VLOOKUP(X337,Schichten!$A$5:$G$24,7,FALSE()),0))</f>
        <v>7</v>
      </c>
      <c r="AA337" s="28" t="n">
        <f aca="false">IF($A337="","",IF(N(Y337)=0,"",$A337+VLOOKUP(X337,Schichten!$A$5:$G$24,3,FALSE())))</f>
        <v>46720.9166666667</v>
      </c>
      <c r="AB337" s="28" t="n">
        <f aca="false">IF(AA337="","",$A337+VLOOKUP(X337,Schichten!$A$5:$G$24,4,FALSE())+IF(VLOOKUP(X337,Schichten!$A$5:$G$24,4,FALSE())&lt;=VLOOKUP(X337,Schichten!$A$5:$G$24,3,FALSE()),1,0))</f>
        <v>46721.25</v>
      </c>
      <c r="AC337" s="28" t="n">
        <f aca="false">IF($A337="","",IF(N(Y336)&gt;0,AB336,AC336))</f>
        <v>46720.25</v>
      </c>
      <c r="AD337" s="27" t="n">
        <f aca="false">IF(OR(AA337="",AC337=""),"",(AA337-AC337)*24)</f>
        <v>16</v>
      </c>
      <c r="AE337" s="21" t="n">
        <f aca="false">IF($A337="","",IF(N(Y337)&gt;0,N(AE336)+1,0))</f>
        <v>6</v>
      </c>
      <c r="AF337" s="21" t="n">
        <f aca="false">IF($A337="","",IF(N(Z337)&gt;0,N(AF336)+1,0))</f>
        <v>2</v>
      </c>
      <c r="AG337" s="21" t="str">
        <f aca="false">IF($A337="","",IF(WEEKDAY($A337,2)&lt;&gt;7,"",IF(AND(OR(AA337="",N(AA337)&gt;=$A337+16/24,N(AB337)&lt;=$A337+6/24),OR(AC337="",N(AC337)&lt;=$A337+6/24)),1,0)))</f>
        <v/>
      </c>
      <c r="AH337" s="26" t="str">
        <f aca="false">IF($A337="","",IF(INDEX(Muster!$C$9:$BF$9,1,MOD($A337-Einstellungen!$C$6,Einstellungen!$C$7)+1)="","-",INDEX(Muster!$C$9:$BF$9,1,MOD($A337-Einstellungen!$C$6,Einstellungen!$C$7)+1)))</f>
        <v>S</v>
      </c>
      <c r="AI337" s="27" t="n">
        <f aca="false">IF($A337="","",IFERROR(VLOOKUP(AH337,Schichten!$A$5:$G$24,6,FALSE()),0))</f>
        <v>8</v>
      </c>
      <c r="AJ337" s="27" t="n">
        <f aca="false">IF($A337="","",IFERROR(VLOOKUP(AH337,Schichten!$A$5:$G$24,7,FALSE()),0))</f>
        <v>0</v>
      </c>
      <c r="AK337" s="28" t="n">
        <f aca="false">IF($A337="","",IF(N(AI337)=0,"",$A337+VLOOKUP(AH337,Schichten!$A$5:$G$24,3,FALSE())))</f>
        <v>46720.5833333333</v>
      </c>
      <c r="AL337" s="28" t="n">
        <f aca="false">IF(AK337="","",$A337+VLOOKUP(AH337,Schichten!$A$5:$G$24,4,FALSE())+IF(VLOOKUP(AH337,Schichten!$A$5:$G$24,4,FALSE())&lt;=VLOOKUP(AH337,Schichten!$A$5:$G$24,3,FALSE()),1,0))</f>
        <v>46720.9166666667</v>
      </c>
      <c r="AM337" s="28" t="n">
        <f aca="false">IF($A337="","",IF(N(AI336)&gt;0,AL336,AM336))</f>
        <v>46719.9166666667</v>
      </c>
      <c r="AN337" s="27" t="n">
        <f aca="false">IF(OR(AK337="",AM337=""),"",(AK337-AM337)*24)</f>
        <v>16</v>
      </c>
      <c r="AO337" s="21" t="n">
        <f aca="false">IF($A337="","",IF(N(AI337)&gt;0,N(AO336)+1,0))</f>
        <v>4</v>
      </c>
      <c r="AP337" s="21" t="n">
        <f aca="false">IF($A337="","",IF(N(AJ337)&gt;0,N(AP336)+1,0))</f>
        <v>0</v>
      </c>
      <c r="AQ337" s="21" t="str">
        <f aca="false">IF($A337="","",IF(WEEKDAY($A337,2)&lt;&gt;7,"",IF(AND(OR(AK337="",N(AK337)&gt;=$A337+16/24,N(AL337)&lt;=$A337+6/24),OR(AM337="",N(AM337)&lt;=$A337+6/24)),1,0)))</f>
        <v/>
      </c>
      <c r="AR337" s="26" t="str">
        <f aca="false">IF($A337="","",IF(INDEX(Muster!$C$10:$BF$10,1,MOD($A337-Einstellungen!$C$6,Einstellungen!$C$7)+1)="","-",INDEX(Muster!$C$10:$BF$10,1,MOD($A337-Einstellungen!$C$6,Einstellungen!$C$7)+1)))</f>
        <v>-</v>
      </c>
      <c r="AS337" s="27" t="n">
        <f aca="false">IF($A337="","",IFERROR(VLOOKUP(AR337,Schichten!$A$5:$G$24,6,FALSE()),0))</f>
        <v>0</v>
      </c>
      <c r="AT337" s="27" t="n">
        <f aca="false">IF($A337="","",IFERROR(VLOOKUP(AR337,Schichten!$A$5:$G$24,7,FALSE()),0))</f>
        <v>0</v>
      </c>
      <c r="AU337" s="28" t="str">
        <f aca="false">IF($A337="","",IF(N(AS337)=0,"",$A337+VLOOKUP(AR337,Schichten!$A$5:$G$24,3,FALSE())))</f>
        <v/>
      </c>
      <c r="AV337" s="28" t="str">
        <f aca="false">IF(AU337="","",$A337+VLOOKUP(AR337,Schichten!$A$5:$G$24,4,FALSE())+IF(VLOOKUP(AR337,Schichten!$A$5:$G$24,4,FALSE())&lt;=VLOOKUP(AR337,Schichten!$A$5:$G$24,3,FALSE()),1,0))</f>
        <v/>
      </c>
      <c r="AW337" s="28" t="str">
        <f aca="false">IF($A337="","",IF(N(AS336)&gt;0,AV336,AW336))</f>
        <v/>
      </c>
      <c r="AX337" s="27" t="str">
        <f aca="false">IF(OR(AU337="",AW337=""),"",(AU337-AW337)*24)</f>
        <v/>
      </c>
      <c r="AY337" s="21" t="n">
        <f aca="false">IF($A337="","",IF(N(AS337)&gt;0,N(AY336)+1,0))</f>
        <v>0</v>
      </c>
      <c r="AZ337" s="21" t="n">
        <f aca="false">IF($A337="","",IF(N(AT337)&gt;0,N(AZ336)+1,0))</f>
        <v>0</v>
      </c>
      <c r="BA337" s="21" t="str">
        <f aca="false">IF($A337="","",IF(WEEKDAY($A337,2)&lt;&gt;7,"",IF(AND(OR(AU337="",N(AU337)&gt;=$A337+16/24,N(AV337)&lt;=$A337+6/24),OR(AW337="",N(AW337)&lt;=$A337+6/24)),1,0)))</f>
        <v/>
      </c>
    </row>
    <row r="338" customFormat="false" ht="15" hidden="false" customHeight="false" outlineLevel="0" collapsed="false">
      <c r="A338" s="25" t="n">
        <f aca="false">IF(YEAR(DATE(Einstellungen!$C$4,1,1)+333)=Einstellungen!$C$4,DATE(Einstellungen!$C$4,1,1)+333,"")</f>
        <v>46721</v>
      </c>
      <c r="B338" s="26" t="str">
        <f aca="false">IF($A338="","",CHOOSE(WEEKDAY($A338,2),"Mo","Di","Mi","Do","Fr","Sa","So"))</f>
        <v>Di</v>
      </c>
      <c r="C338" s="26" t="n">
        <f aca="false">IF($A338="","",MONTH($A338))</f>
        <v>11</v>
      </c>
      <c r="D338" s="26" t="str">
        <f aca="false">IF($A338="","",IF(INDEX(Muster!$C$6:$BF$6,1,MOD($A338-Einstellungen!$C$6,Einstellungen!$C$7)+1)="","-",INDEX(Muster!$C$6:$BF$6,1,MOD($A338-Einstellungen!$C$6,Einstellungen!$C$7)+1)))</f>
        <v>S</v>
      </c>
      <c r="E338" s="27" t="n">
        <f aca="false">IF($A338="","",IFERROR(VLOOKUP(D338,Schichten!$A$5:$G$24,6,FALSE()),0))</f>
        <v>8</v>
      </c>
      <c r="F338" s="27" t="n">
        <f aca="false">IF($A338="","",IFERROR(VLOOKUP(D338,Schichten!$A$5:$G$24,7,FALSE()),0))</f>
        <v>0</v>
      </c>
      <c r="G338" s="28" t="n">
        <f aca="false">IF($A338="","",IF(N(E338)=0,"",$A338+VLOOKUP(D338,Schichten!$A$5:$G$24,3,FALSE())))</f>
        <v>46721.5833333333</v>
      </c>
      <c r="H338" s="28" t="n">
        <f aca="false">IF(G338="","",$A338+VLOOKUP(D338,Schichten!$A$5:$G$24,4,FALSE())+IF(VLOOKUP(D338,Schichten!$A$5:$G$24,4,FALSE())&lt;=VLOOKUP(D338,Schichten!$A$5:$G$24,3,FALSE()),1,0))</f>
        <v>46721.9166666667</v>
      </c>
      <c r="I338" s="28" t="n">
        <f aca="false">IF($A338="","",IF(N(E337)&gt;0,H337,I337))</f>
        <v>46720.5833333333</v>
      </c>
      <c r="J338" s="27" t="n">
        <f aca="false">IF(OR(G338="",I338=""),"",(G338-I338)*24)</f>
        <v>24</v>
      </c>
      <c r="K338" s="21" t="n">
        <f aca="false">IF($A338="","",IF(N(E338)&gt;0,N(K337)+1,0))</f>
        <v>3</v>
      </c>
      <c r="L338" s="21" t="n">
        <f aca="false">IF($A338="","",IF(N(F338)&gt;0,N(L337)+1,0))</f>
        <v>0</v>
      </c>
      <c r="M338" s="21" t="str">
        <f aca="false">IF($A338="","",IF(WEEKDAY($A338,2)&lt;&gt;7,"",IF(AND(OR(G338="",N(G338)&gt;=$A338+16/24,N(H338)&lt;=$A338+6/24),OR(I338="",N(I338)&lt;=$A338+6/24)),1,0)))</f>
        <v/>
      </c>
      <c r="N338" s="26" t="str">
        <f aca="false">IF($A338="","",IF(INDEX(Muster!$C$7:$BF$7,1,MOD($A338-Einstellungen!$C$6,Einstellungen!$C$7)+1)="","-",INDEX(Muster!$C$7:$BF$7,1,MOD($A338-Einstellungen!$C$6,Einstellungen!$C$7)+1)))</f>
        <v>F</v>
      </c>
      <c r="O338" s="27" t="n">
        <f aca="false">IF($A338="","",IFERROR(VLOOKUP(N338,Schichten!$A$5:$G$24,6,FALSE()),0))</f>
        <v>8</v>
      </c>
      <c r="P338" s="27" t="n">
        <f aca="false">IF($A338="","",IFERROR(VLOOKUP(N338,Schichten!$A$5:$G$24,7,FALSE()),0))</f>
        <v>0</v>
      </c>
      <c r="Q338" s="28" t="n">
        <f aca="false">IF($A338="","",IF(N(O338)=0,"",$A338+VLOOKUP(N338,Schichten!$A$5:$G$24,3,FALSE())))</f>
        <v>46721.25</v>
      </c>
      <c r="R338" s="28" t="n">
        <f aca="false">IF(Q338="","",$A338+VLOOKUP(N338,Schichten!$A$5:$G$24,4,FALSE())+IF(VLOOKUP(N338,Schichten!$A$5:$G$24,4,FALSE())&lt;=VLOOKUP(N338,Schichten!$A$5:$G$24,3,FALSE()),1,0))</f>
        <v>46721.5833333333</v>
      </c>
      <c r="S338" s="28" t="n">
        <f aca="false">IF($A338="","",IF(N(O337)&gt;0,R337,S337))</f>
        <v>46719.25</v>
      </c>
      <c r="T338" s="27" t="n">
        <f aca="false">IF(OR(Q338="",S338=""),"",(Q338-S338)*24)</f>
        <v>48</v>
      </c>
      <c r="U338" s="21" t="n">
        <f aca="false">IF($A338="","",IF(N(O338)&gt;0,N(U337)+1,0))</f>
        <v>1</v>
      </c>
      <c r="V338" s="21" t="n">
        <f aca="false">IF($A338="","",IF(N(P338)&gt;0,N(V337)+1,0))</f>
        <v>0</v>
      </c>
      <c r="W338" s="21" t="str">
        <f aca="false">IF($A338="","",IF(WEEKDAY($A338,2)&lt;&gt;7,"",IF(AND(OR(Q338="",N(Q338)&gt;=$A338+16/24,N(R338)&lt;=$A338+6/24),OR(S338="",N(S338)&lt;=$A338+6/24)),1,0)))</f>
        <v/>
      </c>
      <c r="X338" s="26" t="str">
        <f aca="false">IF($A338="","",IF(INDEX(Muster!$C$8:$BF$8,1,MOD($A338-Einstellungen!$C$6,Einstellungen!$C$7)+1)="","-",INDEX(Muster!$C$8:$BF$8,1,MOD($A338-Einstellungen!$C$6,Einstellungen!$C$7)+1)))</f>
        <v>-</v>
      </c>
      <c r="Y338" s="27" t="n">
        <f aca="false">IF($A338="","",IFERROR(VLOOKUP(X338,Schichten!$A$5:$G$24,6,FALSE()),0))</f>
        <v>0</v>
      </c>
      <c r="Z338" s="27" t="n">
        <f aca="false">IF($A338="","",IFERROR(VLOOKUP(X338,Schichten!$A$5:$G$24,7,FALSE()),0))</f>
        <v>0</v>
      </c>
      <c r="AA338" s="28" t="str">
        <f aca="false">IF($A338="","",IF(N(Y338)=0,"",$A338+VLOOKUP(X338,Schichten!$A$5:$G$24,3,FALSE())))</f>
        <v/>
      </c>
      <c r="AB338" s="28" t="str">
        <f aca="false">IF(AA338="","",$A338+VLOOKUP(X338,Schichten!$A$5:$G$24,4,FALSE())+IF(VLOOKUP(X338,Schichten!$A$5:$G$24,4,FALSE())&lt;=VLOOKUP(X338,Schichten!$A$5:$G$24,3,FALSE()),1,0))</f>
        <v/>
      </c>
      <c r="AC338" s="28" t="n">
        <f aca="false">IF($A338="","",IF(N(Y337)&gt;0,AB337,AC337))</f>
        <v>46721.25</v>
      </c>
      <c r="AD338" s="27" t="str">
        <f aca="false">IF(OR(AA338="",AC338=""),"",(AA338-AC338)*24)</f>
        <v/>
      </c>
      <c r="AE338" s="21" t="n">
        <f aca="false">IF($A338="","",IF(N(Y338)&gt;0,N(AE337)+1,0))</f>
        <v>0</v>
      </c>
      <c r="AF338" s="21" t="n">
        <f aca="false">IF($A338="","",IF(N(Z338)&gt;0,N(AF337)+1,0))</f>
        <v>0</v>
      </c>
      <c r="AG338" s="21" t="str">
        <f aca="false">IF($A338="","",IF(WEEKDAY($A338,2)&lt;&gt;7,"",IF(AND(OR(AA338="",N(AA338)&gt;=$A338+16/24,N(AB338)&lt;=$A338+6/24),OR(AC338="",N(AC338)&lt;=$A338+6/24)),1,0)))</f>
        <v/>
      </c>
      <c r="AH338" s="26" t="str">
        <f aca="false">IF($A338="","",IF(INDEX(Muster!$C$9:$BF$9,1,MOD($A338-Einstellungen!$C$6,Einstellungen!$C$7)+1)="","-",INDEX(Muster!$C$9:$BF$9,1,MOD($A338-Einstellungen!$C$6,Einstellungen!$C$7)+1)))</f>
        <v>N</v>
      </c>
      <c r="AI338" s="27" t="n">
        <f aca="false">IF($A338="","",IFERROR(VLOOKUP(AH338,Schichten!$A$5:$G$24,6,FALSE()),0))</f>
        <v>8</v>
      </c>
      <c r="AJ338" s="27" t="n">
        <f aca="false">IF($A338="","",IFERROR(VLOOKUP(AH338,Schichten!$A$5:$G$24,7,FALSE()),0))</f>
        <v>7</v>
      </c>
      <c r="AK338" s="28" t="n">
        <f aca="false">IF($A338="","",IF(N(AI338)=0,"",$A338+VLOOKUP(AH338,Schichten!$A$5:$G$24,3,FALSE())))</f>
        <v>46721.9166666667</v>
      </c>
      <c r="AL338" s="28" t="n">
        <f aca="false">IF(AK338="","",$A338+VLOOKUP(AH338,Schichten!$A$5:$G$24,4,FALSE())+IF(VLOOKUP(AH338,Schichten!$A$5:$G$24,4,FALSE())&lt;=VLOOKUP(AH338,Schichten!$A$5:$G$24,3,FALSE()),1,0))</f>
        <v>46722.25</v>
      </c>
      <c r="AM338" s="28" t="n">
        <f aca="false">IF($A338="","",IF(N(AI337)&gt;0,AL337,AM337))</f>
        <v>46720.9166666667</v>
      </c>
      <c r="AN338" s="27" t="n">
        <f aca="false">IF(OR(AK338="",AM338=""),"",(AK338-AM338)*24)</f>
        <v>24</v>
      </c>
      <c r="AO338" s="21" t="n">
        <f aca="false">IF($A338="","",IF(N(AI338)&gt;0,N(AO337)+1,0))</f>
        <v>5</v>
      </c>
      <c r="AP338" s="21" t="n">
        <f aca="false">IF($A338="","",IF(N(AJ338)&gt;0,N(AP337)+1,0))</f>
        <v>1</v>
      </c>
      <c r="AQ338" s="21" t="str">
        <f aca="false">IF($A338="","",IF(WEEKDAY($A338,2)&lt;&gt;7,"",IF(AND(OR(AK338="",N(AK338)&gt;=$A338+16/24,N(AL338)&lt;=$A338+6/24),OR(AM338="",N(AM338)&lt;=$A338+6/24)),1,0)))</f>
        <v/>
      </c>
      <c r="AR338" s="26" t="str">
        <f aca="false">IF($A338="","",IF(INDEX(Muster!$C$10:$BF$10,1,MOD($A338-Einstellungen!$C$6,Einstellungen!$C$7)+1)="","-",INDEX(Muster!$C$10:$BF$10,1,MOD($A338-Einstellungen!$C$6,Einstellungen!$C$7)+1)))</f>
        <v>-</v>
      </c>
      <c r="AS338" s="27" t="n">
        <f aca="false">IF($A338="","",IFERROR(VLOOKUP(AR338,Schichten!$A$5:$G$24,6,FALSE()),0))</f>
        <v>0</v>
      </c>
      <c r="AT338" s="27" t="n">
        <f aca="false">IF($A338="","",IFERROR(VLOOKUP(AR338,Schichten!$A$5:$G$24,7,FALSE()),0))</f>
        <v>0</v>
      </c>
      <c r="AU338" s="28" t="str">
        <f aca="false">IF($A338="","",IF(N(AS338)=0,"",$A338+VLOOKUP(AR338,Schichten!$A$5:$G$24,3,FALSE())))</f>
        <v/>
      </c>
      <c r="AV338" s="28" t="str">
        <f aca="false">IF(AU338="","",$A338+VLOOKUP(AR338,Schichten!$A$5:$G$24,4,FALSE())+IF(VLOOKUP(AR338,Schichten!$A$5:$G$24,4,FALSE())&lt;=VLOOKUP(AR338,Schichten!$A$5:$G$24,3,FALSE()),1,0))</f>
        <v/>
      </c>
      <c r="AW338" s="28" t="str">
        <f aca="false">IF($A338="","",IF(N(AS337)&gt;0,AV337,AW337))</f>
        <v/>
      </c>
      <c r="AX338" s="27" t="str">
        <f aca="false">IF(OR(AU338="",AW338=""),"",(AU338-AW338)*24)</f>
        <v/>
      </c>
      <c r="AY338" s="21" t="n">
        <f aca="false">IF($A338="","",IF(N(AS338)&gt;0,N(AY337)+1,0))</f>
        <v>0</v>
      </c>
      <c r="AZ338" s="21" t="n">
        <f aca="false">IF($A338="","",IF(N(AT338)&gt;0,N(AZ337)+1,0))</f>
        <v>0</v>
      </c>
      <c r="BA338" s="21" t="str">
        <f aca="false">IF($A338="","",IF(WEEKDAY($A338,2)&lt;&gt;7,"",IF(AND(OR(AU338="",N(AU338)&gt;=$A338+16/24,N(AV338)&lt;=$A338+6/24),OR(AW338="",N(AW338)&lt;=$A338+6/24)),1,0)))</f>
        <v/>
      </c>
    </row>
    <row r="339" customFormat="false" ht="15" hidden="false" customHeight="false" outlineLevel="0" collapsed="false">
      <c r="A339" s="25" t="n">
        <f aca="false">IF(YEAR(DATE(Einstellungen!$C$4,1,1)+334)=Einstellungen!$C$4,DATE(Einstellungen!$C$4,1,1)+334,"")</f>
        <v>46722</v>
      </c>
      <c r="B339" s="26" t="str">
        <f aca="false">IF($A339="","",CHOOSE(WEEKDAY($A339,2),"Mo","Di","Mi","Do","Fr","Sa","So"))</f>
        <v>Mi</v>
      </c>
      <c r="C339" s="26" t="n">
        <f aca="false">IF($A339="","",MONTH($A339))</f>
        <v>12</v>
      </c>
      <c r="D339" s="26" t="str">
        <f aca="false">IF($A339="","",IF(INDEX(Muster!$C$6:$BF$6,1,MOD($A339-Einstellungen!$C$6,Einstellungen!$C$7)+1)="","-",INDEX(Muster!$C$6:$BF$6,1,MOD($A339-Einstellungen!$C$6,Einstellungen!$C$7)+1)))</f>
        <v>S</v>
      </c>
      <c r="E339" s="27" t="n">
        <f aca="false">IF($A339="","",IFERROR(VLOOKUP(D339,Schichten!$A$5:$G$24,6,FALSE()),0))</f>
        <v>8</v>
      </c>
      <c r="F339" s="27" t="n">
        <f aca="false">IF($A339="","",IFERROR(VLOOKUP(D339,Schichten!$A$5:$G$24,7,FALSE()),0))</f>
        <v>0</v>
      </c>
      <c r="G339" s="28" t="n">
        <f aca="false">IF($A339="","",IF(N(E339)=0,"",$A339+VLOOKUP(D339,Schichten!$A$5:$G$24,3,FALSE())))</f>
        <v>46722.5833333333</v>
      </c>
      <c r="H339" s="28" t="n">
        <f aca="false">IF(G339="","",$A339+VLOOKUP(D339,Schichten!$A$5:$G$24,4,FALSE())+IF(VLOOKUP(D339,Schichten!$A$5:$G$24,4,FALSE())&lt;=VLOOKUP(D339,Schichten!$A$5:$G$24,3,FALSE()),1,0))</f>
        <v>46722.9166666667</v>
      </c>
      <c r="I339" s="28" t="n">
        <f aca="false">IF($A339="","",IF(N(E338)&gt;0,H338,I338))</f>
        <v>46721.9166666667</v>
      </c>
      <c r="J339" s="27" t="n">
        <f aca="false">IF(OR(G339="",I339=""),"",(G339-I339)*24)</f>
        <v>16</v>
      </c>
      <c r="K339" s="21" t="n">
        <f aca="false">IF($A339="","",IF(N(E339)&gt;0,N(K338)+1,0))</f>
        <v>4</v>
      </c>
      <c r="L339" s="21" t="n">
        <f aca="false">IF($A339="","",IF(N(F339)&gt;0,N(L338)+1,0))</f>
        <v>0</v>
      </c>
      <c r="M339" s="21" t="str">
        <f aca="false">IF($A339="","",IF(WEEKDAY($A339,2)&lt;&gt;7,"",IF(AND(OR(G339="",N(G339)&gt;=$A339+16/24,N(H339)&lt;=$A339+6/24),OR(I339="",N(I339)&lt;=$A339+6/24)),1,0)))</f>
        <v/>
      </c>
      <c r="N339" s="26" t="str">
        <f aca="false">IF($A339="","",IF(INDEX(Muster!$C$7:$BF$7,1,MOD($A339-Einstellungen!$C$6,Einstellungen!$C$7)+1)="","-",INDEX(Muster!$C$7:$BF$7,1,MOD($A339-Einstellungen!$C$6,Einstellungen!$C$7)+1)))</f>
        <v>F</v>
      </c>
      <c r="O339" s="27" t="n">
        <f aca="false">IF($A339="","",IFERROR(VLOOKUP(N339,Schichten!$A$5:$G$24,6,FALSE()),0))</f>
        <v>8</v>
      </c>
      <c r="P339" s="27" t="n">
        <f aca="false">IF($A339="","",IFERROR(VLOOKUP(N339,Schichten!$A$5:$G$24,7,FALSE()),0))</f>
        <v>0</v>
      </c>
      <c r="Q339" s="28" t="n">
        <f aca="false">IF($A339="","",IF(N(O339)=0,"",$A339+VLOOKUP(N339,Schichten!$A$5:$G$24,3,FALSE())))</f>
        <v>46722.25</v>
      </c>
      <c r="R339" s="28" t="n">
        <f aca="false">IF(Q339="","",$A339+VLOOKUP(N339,Schichten!$A$5:$G$24,4,FALSE())+IF(VLOOKUP(N339,Schichten!$A$5:$G$24,4,FALSE())&lt;=VLOOKUP(N339,Schichten!$A$5:$G$24,3,FALSE()),1,0))</f>
        <v>46722.5833333333</v>
      </c>
      <c r="S339" s="28" t="n">
        <f aca="false">IF($A339="","",IF(N(O338)&gt;0,R338,S338))</f>
        <v>46721.5833333333</v>
      </c>
      <c r="T339" s="27" t="n">
        <f aca="false">IF(OR(Q339="",S339=""),"",(Q339-S339)*24)</f>
        <v>16</v>
      </c>
      <c r="U339" s="21" t="n">
        <f aca="false">IF($A339="","",IF(N(O339)&gt;0,N(U338)+1,0))</f>
        <v>2</v>
      </c>
      <c r="V339" s="21" t="n">
        <f aca="false">IF($A339="","",IF(N(P339)&gt;0,N(V338)+1,0))</f>
        <v>0</v>
      </c>
      <c r="W339" s="21" t="str">
        <f aca="false">IF($A339="","",IF(WEEKDAY($A339,2)&lt;&gt;7,"",IF(AND(OR(Q339="",N(Q339)&gt;=$A339+16/24,N(R339)&lt;=$A339+6/24),OR(S339="",N(S339)&lt;=$A339+6/24)),1,0)))</f>
        <v/>
      </c>
      <c r="X339" s="26" t="str">
        <f aca="false">IF($A339="","",IF(INDEX(Muster!$C$8:$BF$8,1,MOD($A339-Einstellungen!$C$6,Einstellungen!$C$7)+1)="","-",INDEX(Muster!$C$8:$BF$8,1,MOD($A339-Einstellungen!$C$6,Einstellungen!$C$7)+1)))</f>
        <v>-</v>
      </c>
      <c r="Y339" s="27" t="n">
        <f aca="false">IF($A339="","",IFERROR(VLOOKUP(X339,Schichten!$A$5:$G$24,6,FALSE()),0))</f>
        <v>0</v>
      </c>
      <c r="Z339" s="27" t="n">
        <f aca="false">IF($A339="","",IFERROR(VLOOKUP(X339,Schichten!$A$5:$G$24,7,FALSE()),0))</f>
        <v>0</v>
      </c>
      <c r="AA339" s="28" t="str">
        <f aca="false">IF($A339="","",IF(N(Y339)=0,"",$A339+VLOOKUP(X339,Schichten!$A$5:$G$24,3,FALSE())))</f>
        <v/>
      </c>
      <c r="AB339" s="28" t="str">
        <f aca="false">IF(AA339="","",$A339+VLOOKUP(X339,Schichten!$A$5:$G$24,4,FALSE())+IF(VLOOKUP(X339,Schichten!$A$5:$G$24,4,FALSE())&lt;=VLOOKUP(X339,Schichten!$A$5:$G$24,3,FALSE()),1,0))</f>
        <v/>
      </c>
      <c r="AC339" s="28" t="n">
        <f aca="false">IF($A339="","",IF(N(Y338)&gt;0,AB338,AC338))</f>
        <v>46721.25</v>
      </c>
      <c r="AD339" s="27" t="str">
        <f aca="false">IF(OR(AA339="",AC339=""),"",(AA339-AC339)*24)</f>
        <v/>
      </c>
      <c r="AE339" s="21" t="n">
        <f aca="false">IF($A339="","",IF(N(Y339)&gt;0,N(AE338)+1,0))</f>
        <v>0</v>
      </c>
      <c r="AF339" s="21" t="n">
        <f aca="false">IF($A339="","",IF(N(Z339)&gt;0,N(AF338)+1,0))</f>
        <v>0</v>
      </c>
      <c r="AG339" s="21" t="str">
        <f aca="false">IF($A339="","",IF(WEEKDAY($A339,2)&lt;&gt;7,"",IF(AND(OR(AA339="",N(AA339)&gt;=$A339+16/24,N(AB339)&lt;=$A339+6/24),OR(AC339="",N(AC339)&lt;=$A339+6/24)),1,0)))</f>
        <v/>
      </c>
      <c r="AH339" s="26" t="str">
        <f aca="false">IF($A339="","",IF(INDEX(Muster!$C$9:$BF$9,1,MOD($A339-Einstellungen!$C$6,Einstellungen!$C$7)+1)="","-",INDEX(Muster!$C$9:$BF$9,1,MOD($A339-Einstellungen!$C$6,Einstellungen!$C$7)+1)))</f>
        <v>N</v>
      </c>
      <c r="AI339" s="27" t="n">
        <f aca="false">IF($A339="","",IFERROR(VLOOKUP(AH339,Schichten!$A$5:$G$24,6,FALSE()),0))</f>
        <v>8</v>
      </c>
      <c r="AJ339" s="27" t="n">
        <f aca="false">IF($A339="","",IFERROR(VLOOKUP(AH339,Schichten!$A$5:$G$24,7,FALSE()),0))</f>
        <v>7</v>
      </c>
      <c r="AK339" s="28" t="n">
        <f aca="false">IF($A339="","",IF(N(AI339)=0,"",$A339+VLOOKUP(AH339,Schichten!$A$5:$G$24,3,FALSE())))</f>
        <v>46722.9166666667</v>
      </c>
      <c r="AL339" s="28" t="n">
        <f aca="false">IF(AK339="","",$A339+VLOOKUP(AH339,Schichten!$A$5:$G$24,4,FALSE())+IF(VLOOKUP(AH339,Schichten!$A$5:$G$24,4,FALSE())&lt;=VLOOKUP(AH339,Schichten!$A$5:$G$24,3,FALSE()),1,0))</f>
        <v>46723.25</v>
      </c>
      <c r="AM339" s="28" t="n">
        <f aca="false">IF($A339="","",IF(N(AI338)&gt;0,AL338,AM338))</f>
        <v>46722.25</v>
      </c>
      <c r="AN339" s="27" t="n">
        <f aca="false">IF(OR(AK339="",AM339=""),"",(AK339-AM339)*24)</f>
        <v>16</v>
      </c>
      <c r="AO339" s="21" t="n">
        <f aca="false">IF($A339="","",IF(N(AI339)&gt;0,N(AO338)+1,0))</f>
        <v>6</v>
      </c>
      <c r="AP339" s="21" t="n">
        <f aca="false">IF($A339="","",IF(N(AJ339)&gt;0,N(AP338)+1,0))</f>
        <v>2</v>
      </c>
      <c r="AQ339" s="21" t="str">
        <f aca="false">IF($A339="","",IF(WEEKDAY($A339,2)&lt;&gt;7,"",IF(AND(OR(AK339="",N(AK339)&gt;=$A339+16/24,N(AL339)&lt;=$A339+6/24),OR(AM339="",N(AM339)&lt;=$A339+6/24)),1,0)))</f>
        <v/>
      </c>
      <c r="AR339" s="26" t="str">
        <f aca="false">IF($A339="","",IF(INDEX(Muster!$C$10:$BF$10,1,MOD($A339-Einstellungen!$C$6,Einstellungen!$C$7)+1)="","-",INDEX(Muster!$C$10:$BF$10,1,MOD($A339-Einstellungen!$C$6,Einstellungen!$C$7)+1)))</f>
        <v>-</v>
      </c>
      <c r="AS339" s="27" t="n">
        <f aca="false">IF($A339="","",IFERROR(VLOOKUP(AR339,Schichten!$A$5:$G$24,6,FALSE()),0))</f>
        <v>0</v>
      </c>
      <c r="AT339" s="27" t="n">
        <f aca="false">IF($A339="","",IFERROR(VLOOKUP(AR339,Schichten!$A$5:$G$24,7,FALSE()),0))</f>
        <v>0</v>
      </c>
      <c r="AU339" s="28" t="str">
        <f aca="false">IF($A339="","",IF(N(AS339)=0,"",$A339+VLOOKUP(AR339,Schichten!$A$5:$G$24,3,FALSE())))</f>
        <v/>
      </c>
      <c r="AV339" s="28" t="str">
        <f aca="false">IF(AU339="","",$A339+VLOOKUP(AR339,Schichten!$A$5:$G$24,4,FALSE())+IF(VLOOKUP(AR339,Schichten!$A$5:$G$24,4,FALSE())&lt;=VLOOKUP(AR339,Schichten!$A$5:$G$24,3,FALSE()),1,0))</f>
        <v/>
      </c>
      <c r="AW339" s="28" t="str">
        <f aca="false">IF($A339="","",IF(N(AS338)&gt;0,AV338,AW338))</f>
        <v/>
      </c>
      <c r="AX339" s="27" t="str">
        <f aca="false">IF(OR(AU339="",AW339=""),"",(AU339-AW339)*24)</f>
        <v/>
      </c>
      <c r="AY339" s="21" t="n">
        <f aca="false">IF($A339="","",IF(N(AS339)&gt;0,N(AY338)+1,0))</f>
        <v>0</v>
      </c>
      <c r="AZ339" s="21" t="n">
        <f aca="false">IF($A339="","",IF(N(AT339)&gt;0,N(AZ338)+1,0))</f>
        <v>0</v>
      </c>
      <c r="BA339" s="21" t="str">
        <f aca="false">IF($A339="","",IF(WEEKDAY($A339,2)&lt;&gt;7,"",IF(AND(OR(AU339="",N(AU339)&gt;=$A339+16/24,N(AV339)&lt;=$A339+6/24),OR(AW339="",N(AW339)&lt;=$A339+6/24)),1,0)))</f>
        <v/>
      </c>
    </row>
    <row r="340" customFormat="false" ht="15" hidden="false" customHeight="false" outlineLevel="0" collapsed="false">
      <c r="A340" s="25" t="n">
        <f aca="false">IF(YEAR(DATE(Einstellungen!$C$4,1,1)+335)=Einstellungen!$C$4,DATE(Einstellungen!$C$4,1,1)+335,"")</f>
        <v>46723</v>
      </c>
      <c r="B340" s="26" t="str">
        <f aca="false">IF($A340="","",CHOOSE(WEEKDAY($A340,2),"Mo","Di","Mi","Do","Fr","Sa","So"))</f>
        <v>Do</v>
      </c>
      <c r="C340" s="26" t="n">
        <f aca="false">IF($A340="","",MONTH($A340))</f>
        <v>12</v>
      </c>
      <c r="D340" s="26" t="str">
        <f aca="false">IF($A340="","",IF(INDEX(Muster!$C$6:$BF$6,1,MOD($A340-Einstellungen!$C$6,Einstellungen!$C$7)+1)="","-",INDEX(Muster!$C$6:$BF$6,1,MOD($A340-Einstellungen!$C$6,Einstellungen!$C$7)+1)))</f>
        <v>N</v>
      </c>
      <c r="E340" s="27" t="n">
        <f aca="false">IF($A340="","",IFERROR(VLOOKUP(D340,Schichten!$A$5:$G$24,6,FALSE()),0))</f>
        <v>8</v>
      </c>
      <c r="F340" s="27" t="n">
        <f aca="false">IF($A340="","",IFERROR(VLOOKUP(D340,Schichten!$A$5:$G$24,7,FALSE()),0))</f>
        <v>7</v>
      </c>
      <c r="G340" s="28" t="n">
        <f aca="false">IF($A340="","",IF(N(E340)=0,"",$A340+VLOOKUP(D340,Schichten!$A$5:$G$24,3,FALSE())))</f>
        <v>46723.9166666667</v>
      </c>
      <c r="H340" s="28" t="n">
        <f aca="false">IF(G340="","",$A340+VLOOKUP(D340,Schichten!$A$5:$G$24,4,FALSE())+IF(VLOOKUP(D340,Schichten!$A$5:$G$24,4,FALSE())&lt;=VLOOKUP(D340,Schichten!$A$5:$G$24,3,FALSE()),1,0))</f>
        <v>46724.25</v>
      </c>
      <c r="I340" s="28" t="n">
        <f aca="false">IF($A340="","",IF(N(E339)&gt;0,H339,I339))</f>
        <v>46722.9166666667</v>
      </c>
      <c r="J340" s="27" t="n">
        <f aca="false">IF(OR(G340="",I340=""),"",(G340-I340)*24)</f>
        <v>24</v>
      </c>
      <c r="K340" s="21" t="n">
        <f aca="false">IF($A340="","",IF(N(E340)&gt;0,N(K339)+1,0))</f>
        <v>5</v>
      </c>
      <c r="L340" s="21" t="n">
        <f aca="false">IF($A340="","",IF(N(F340)&gt;0,N(L339)+1,0))</f>
        <v>1</v>
      </c>
      <c r="M340" s="21" t="str">
        <f aca="false">IF($A340="","",IF(WEEKDAY($A340,2)&lt;&gt;7,"",IF(AND(OR(G340="",N(G340)&gt;=$A340+16/24,N(H340)&lt;=$A340+6/24),OR(I340="",N(I340)&lt;=$A340+6/24)),1,0)))</f>
        <v/>
      </c>
      <c r="N340" s="26" t="str">
        <f aca="false">IF($A340="","",IF(INDEX(Muster!$C$7:$BF$7,1,MOD($A340-Einstellungen!$C$6,Einstellungen!$C$7)+1)="","-",INDEX(Muster!$C$7:$BF$7,1,MOD($A340-Einstellungen!$C$6,Einstellungen!$C$7)+1)))</f>
        <v>S</v>
      </c>
      <c r="O340" s="27" t="n">
        <f aca="false">IF($A340="","",IFERROR(VLOOKUP(N340,Schichten!$A$5:$G$24,6,FALSE()),0))</f>
        <v>8</v>
      </c>
      <c r="P340" s="27" t="n">
        <f aca="false">IF($A340="","",IFERROR(VLOOKUP(N340,Schichten!$A$5:$G$24,7,FALSE()),0))</f>
        <v>0</v>
      </c>
      <c r="Q340" s="28" t="n">
        <f aca="false">IF($A340="","",IF(N(O340)=0,"",$A340+VLOOKUP(N340,Schichten!$A$5:$G$24,3,FALSE())))</f>
        <v>46723.5833333333</v>
      </c>
      <c r="R340" s="28" t="n">
        <f aca="false">IF(Q340="","",$A340+VLOOKUP(N340,Schichten!$A$5:$G$24,4,FALSE())+IF(VLOOKUP(N340,Schichten!$A$5:$G$24,4,FALSE())&lt;=VLOOKUP(N340,Schichten!$A$5:$G$24,3,FALSE()),1,0))</f>
        <v>46723.9166666667</v>
      </c>
      <c r="S340" s="28" t="n">
        <f aca="false">IF($A340="","",IF(N(O339)&gt;0,R339,S339))</f>
        <v>46722.5833333333</v>
      </c>
      <c r="T340" s="27" t="n">
        <f aca="false">IF(OR(Q340="",S340=""),"",(Q340-S340)*24)</f>
        <v>24</v>
      </c>
      <c r="U340" s="21" t="n">
        <f aca="false">IF($A340="","",IF(N(O340)&gt;0,N(U339)+1,0))</f>
        <v>3</v>
      </c>
      <c r="V340" s="21" t="n">
        <f aca="false">IF($A340="","",IF(N(P340)&gt;0,N(V339)+1,0))</f>
        <v>0</v>
      </c>
      <c r="W340" s="21" t="str">
        <f aca="false">IF($A340="","",IF(WEEKDAY($A340,2)&lt;&gt;7,"",IF(AND(OR(Q340="",N(Q340)&gt;=$A340+16/24,N(R340)&lt;=$A340+6/24),OR(S340="",N(S340)&lt;=$A340+6/24)),1,0)))</f>
        <v/>
      </c>
      <c r="X340" s="26" t="str">
        <f aca="false">IF($A340="","",IF(INDEX(Muster!$C$8:$BF$8,1,MOD($A340-Einstellungen!$C$6,Einstellungen!$C$7)+1)="","-",INDEX(Muster!$C$8:$BF$8,1,MOD($A340-Einstellungen!$C$6,Einstellungen!$C$7)+1)))</f>
        <v>F</v>
      </c>
      <c r="Y340" s="27" t="n">
        <f aca="false">IF($A340="","",IFERROR(VLOOKUP(X340,Schichten!$A$5:$G$24,6,FALSE()),0))</f>
        <v>8</v>
      </c>
      <c r="Z340" s="27" t="n">
        <f aca="false">IF($A340="","",IFERROR(VLOOKUP(X340,Schichten!$A$5:$G$24,7,FALSE()),0))</f>
        <v>0</v>
      </c>
      <c r="AA340" s="28" t="n">
        <f aca="false">IF($A340="","",IF(N(Y340)=0,"",$A340+VLOOKUP(X340,Schichten!$A$5:$G$24,3,FALSE())))</f>
        <v>46723.25</v>
      </c>
      <c r="AB340" s="28" t="n">
        <f aca="false">IF(AA340="","",$A340+VLOOKUP(X340,Schichten!$A$5:$G$24,4,FALSE())+IF(VLOOKUP(X340,Schichten!$A$5:$G$24,4,FALSE())&lt;=VLOOKUP(X340,Schichten!$A$5:$G$24,3,FALSE()),1,0))</f>
        <v>46723.5833333333</v>
      </c>
      <c r="AC340" s="28" t="n">
        <f aca="false">IF($A340="","",IF(N(Y339)&gt;0,AB339,AC339))</f>
        <v>46721.25</v>
      </c>
      <c r="AD340" s="27" t="n">
        <f aca="false">IF(OR(AA340="",AC340=""),"",(AA340-AC340)*24)</f>
        <v>48</v>
      </c>
      <c r="AE340" s="21" t="n">
        <f aca="false">IF($A340="","",IF(N(Y340)&gt;0,N(AE339)+1,0))</f>
        <v>1</v>
      </c>
      <c r="AF340" s="21" t="n">
        <f aca="false">IF($A340="","",IF(N(Z340)&gt;0,N(AF339)+1,0))</f>
        <v>0</v>
      </c>
      <c r="AG340" s="21" t="str">
        <f aca="false">IF($A340="","",IF(WEEKDAY($A340,2)&lt;&gt;7,"",IF(AND(OR(AA340="",N(AA340)&gt;=$A340+16/24,N(AB340)&lt;=$A340+6/24),OR(AC340="",N(AC340)&lt;=$A340+6/24)),1,0)))</f>
        <v/>
      </c>
      <c r="AH340" s="26" t="str">
        <f aca="false">IF($A340="","",IF(INDEX(Muster!$C$9:$BF$9,1,MOD($A340-Einstellungen!$C$6,Einstellungen!$C$7)+1)="","-",INDEX(Muster!$C$9:$BF$9,1,MOD($A340-Einstellungen!$C$6,Einstellungen!$C$7)+1)))</f>
        <v>-</v>
      </c>
      <c r="AI340" s="27" t="n">
        <f aca="false">IF($A340="","",IFERROR(VLOOKUP(AH340,Schichten!$A$5:$G$24,6,FALSE()),0))</f>
        <v>0</v>
      </c>
      <c r="AJ340" s="27" t="n">
        <f aca="false">IF($A340="","",IFERROR(VLOOKUP(AH340,Schichten!$A$5:$G$24,7,FALSE()),0))</f>
        <v>0</v>
      </c>
      <c r="AK340" s="28" t="str">
        <f aca="false">IF($A340="","",IF(N(AI340)=0,"",$A340+VLOOKUP(AH340,Schichten!$A$5:$G$24,3,FALSE())))</f>
        <v/>
      </c>
      <c r="AL340" s="28" t="str">
        <f aca="false">IF(AK340="","",$A340+VLOOKUP(AH340,Schichten!$A$5:$G$24,4,FALSE())+IF(VLOOKUP(AH340,Schichten!$A$5:$G$24,4,FALSE())&lt;=VLOOKUP(AH340,Schichten!$A$5:$G$24,3,FALSE()),1,0))</f>
        <v/>
      </c>
      <c r="AM340" s="28" t="n">
        <f aca="false">IF($A340="","",IF(N(AI339)&gt;0,AL339,AM339))</f>
        <v>46723.25</v>
      </c>
      <c r="AN340" s="27" t="str">
        <f aca="false">IF(OR(AK340="",AM340=""),"",(AK340-AM340)*24)</f>
        <v/>
      </c>
      <c r="AO340" s="21" t="n">
        <f aca="false">IF($A340="","",IF(N(AI340)&gt;0,N(AO339)+1,0))</f>
        <v>0</v>
      </c>
      <c r="AP340" s="21" t="n">
        <f aca="false">IF($A340="","",IF(N(AJ340)&gt;0,N(AP339)+1,0))</f>
        <v>0</v>
      </c>
      <c r="AQ340" s="21" t="str">
        <f aca="false">IF($A340="","",IF(WEEKDAY($A340,2)&lt;&gt;7,"",IF(AND(OR(AK340="",N(AK340)&gt;=$A340+16/24,N(AL340)&lt;=$A340+6/24),OR(AM340="",N(AM340)&lt;=$A340+6/24)),1,0)))</f>
        <v/>
      </c>
      <c r="AR340" s="26" t="str">
        <f aca="false">IF($A340="","",IF(INDEX(Muster!$C$10:$BF$10,1,MOD($A340-Einstellungen!$C$6,Einstellungen!$C$7)+1)="","-",INDEX(Muster!$C$10:$BF$10,1,MOD($A340-Einstellungen!$C$6,Einstellungen!$C$7)+1)))</f>
        <v>-</v>
      </c>
      <c r="AS340" s="27" t="n">
        <f aca="false">IF($A340="","",IFERROR(VLOOKUP(AR340,Schichten!$A$5:$G$24,6,FALSE()),0))</f>
        <v>0</v>
      </c>
      <c r="AT340" s="27" t="n">
        <f aca="false">IF($A340="","",IFERROR(VLOOKUP(AR340,Schichten!$A$5:$G$24,7,FALSE()),0))</f>
        <v>0</v>
      </c>
      <c r="AU340" s="28" t="str">
        <f aca="false">IF($A340="","",IF(N(AS340)=0,"",$A340+VLOOKUP(AR340,Schichten!$A$5:$G$24,3,FALSE())))</f>
        <v/>
      </c>
      <c r="AV340" s="28" t="str">
        <f aca="false">IF(AU340="","",$A340+VLOOKUP(AR340,Schichten!$A$5:$G$24,4,FALSE())+IF(VLOOKUP(AR340,Schichten!$A$5:$G$24,4,FALSE())&lt;=VLOOKUP(AR340,Schichten!$A$5:$G$24,3,FALSE()),1,0))</f>
        <v/>
      </c>
      <c r="AW340" s="28" t="str">
        <f aca="false">IF($A340="","",IF(N(AS339)&gt;0,AV339,AW339))</f>
        <v/>
      </c>
      <c r="AX340" s="27" t="str">
        <f aca="false">IF(OR(AU340="",AW340=""),"",(AU340-AW340)*24)</f>
        <v/>
      </c>
      <c r="AY340" s="21" t="n">
        <f aca="false">IF($A340="","",IF(N(AS340)&gt;0,N(AY339)+1,0))</f>
        <v>0</v>
      </c>
      <c r="AZ340" s="21" t="n">
        <f aca="false">IF($A340="","",IF(N(AT340)&gt;0,N(AZ339)+1,0))</f>
        <v>0</v>
      </c>
      <c r="BA340" s="21" t="str">
        <f aca="false">IF($A340="","",IF(WEEKDAY($A340,2)&lt;&gt;7,"",IF(AND(OR(AU340="",N(AU340)&gt;=$A340+16/24,N(AV340)&lt;=$A340+6/24),OR(AW340="",N(AW340)&lt;=$A340+6/24)),1,0)))</f>
        <v/>
      </c>
    </row>
    <row r="341" customFormat="false" ht="15" hidden="false" customHeight="false" outlineLevel="0" collapsed="false">
      <c r="A341" s="25" t="n">
        <f aca="false">IF(YEAR(DATE(Einstellungen!$C$4,1,1)+336)=Einstellungen!$C$4,DATE(Einstellungen!$C$4,1,1)+336,"")</f>
        <v>46724</v>
      </c>
      <c r="B341" s="26" t="str">
        <f aca="false">IF($A341="","",CHOOSE(WEEKDAY($A341,2),"Mo","Di","Mi","Do","Fr","Sa","So"))</f>
        <v>Fr</v>
      </c>
      <c r="C341" s="26" t="n">
        <f aca="false">IF($A341="","",MONTH($A341))</f>
        <v>12</v>
      </c>
      <c r="D341" s="26" t="str">
        <f aca="false">IF($A341="","",IF(INDEX(Muster!$C$6:$BF$6,1,MOD($A341-Einstellungen!$C$6,Einstellungen!$C$7)+1)="","-",INDEX(Muster!$C$6:$BF$6,1,MOD($A341-Einstellungen!$C$6,Einstellungen!$C$7)+1)))</f>
        <v>N</v>
      </c>
      <c r="E341" s="27" t="n">
        <f aca="false">IF($A341="","",IFERROR(VLOOKUP(D341,Schichten!$A$5:$G$24,6,FALSE()),0))</f>
        <v>8</v>
      </c>
      <c r="F341" s="27" t="n">
        <f aca="false">IF($A341="","",IFERROR(VLOOKUP(D341,Schichten!$A$5:$G$24,7,FALSE()),0))</f>
        <v>7</v>
      </c>
      <c r="G341" s="28" t="n">
        <f aca="false">IF($A341="","",IF(N(E341)=0,"",$A341+VLOOKUP(D341,Schichten!$A$5:$G$24,3,FALSE())))</f>
        <v>46724.9166666667</v>
      </c>
      <c r="H341" s="28" t="n">
        <f aca="false">IF(G341="","",$A341+VLOOKUP(D341,Schichten!$A$5:$G$24,4,FALSE())+IF(VLOOKUP(D341,Schichten!$A$5:$G$24,4,FALSE())&lt;=VLOOKUP(D341,Schichten!$A$5:$G$24,3,FALSE()),1,0))</f>
        <v>46725.25</v>
      </c>
      <c r="I341" s="28" t="n">
        <f aca="false">IF($A341="","",IF(N(E340)&gt;0,H340,I340))</f>
        <v>46724.25</v>
      </c>
      <c r="J341" s="27" t="n">
        <f aca="false">IF(OR(G341="",I341=""),"",(G341-I341)*24)</f>
        <v>16</v>
      </c>
      <c r="K341" s="21" t="n">
        <f aca="false">IF($A341="","",IF(N(E341)&gt;0,N(K340)+1,0))</f>
        <v>6</v>
      </c>
      <c r="L341" s="21" t="n">
        <f aca="false">IF($A341="","",IF(N(F341)&gt;0,N(L340)+1,0))</f>
        <v>2</v>
      </c>
      <c r="M341" s="21" t="str">
        <f aca="false">IF($A341="","",IF(WEEKDAY($A341,2)&lt;&gt;7,"",IF(AND(OR(G341="",N(G341)&gt;=$A341+16/24,N(H341)&lt;=$A341+6/24),OR(I341="",N(I341)&lt;=$A341+6/24)),1,0)))</f>
        <v/>
      </c>
      <c r="N341" s="26" t="str">
        <f aca="false">IF($A341="","",IF(INDEX(Muster!$C$7:$BF$7,1,MOD($A341-Einstellungen!$C$6,Einstellungen!$C$7)+1)="","-",INDEX(Muster!$C$7:$BF$7,1,MOD($A341-Einstellungen!$C$6,Einstellungen!$C$7)+1)))</f>
        <v>S</v>
      </c>
      <c r="O341" s="27" t="n">
        <f aca="false">IF($A341="","",IFERROR(VLOOKUP(N341,Schichten!$A$5:$G$24,6,FALSE()),0))</f>
        <v>8</v>
      </c>
      <c r="P341" s="27" t="n">
        <f aca="false">IF($A341="","",IFERROR(VLOOKUP(N341,Schichten!$A$5:$G$24,7,FALSE()),0))</f>
        <v>0</v>
      </c>
      <c r="Q341" s="28" t="n">
        <f aca="false">IF($A341="","",IF(N(O341)=0,"",$A341+VLOOKUP(N341,Schichten!$A$5:$G$24,3,FALSE())))</f>
        <v>46724.5833333333</v>
      </c>
      <c r="R341" s="28" t="n">
        <f aca="false">IF(Q341="","",$A341+VLOOKUP(N341,Schichten!$A$5:$G$24,4,FALSE())+IF(VLOOKUP(N341,Schichten!$A$5:$G$24,4,FALSE())&lt;=VLOOKUP(N341,Schichten!$A$5:$G$24,3,FALSE()),1,0))</f>
        <v>46724.9166666667</v>
      </c>
      <c r="S341" s="28" t="n">
        <f aca="false">IF($A341="","",IF(N(O340)&gt;0,R340,S340))</f>
        <v>46723.9166666667</v>
      </c>
      <c r="T341" s="27" t="n">
        <f aca="false">IF(OR(Q341="",S341=""),"",(Q341-S341)*24)</f>
        <v>16</v>
      </c>
      <c r="U341" s="21" t="n">
        <f aca="false">IF($A341="","",IF(N(O341)&gt;0,N(U340)+1,0))</f>
        <v>4</v>
      </c>
      <c r="V341" s="21" t="n">
        <f aca="false">IF($A341="","",IF(N(P341)&gt;0,N(V340)+1,0))</f>
        <v>0</v>
      </c>
      <c r="W341" s="21" t="str">
        <f aca="false">IF($A341="","",IF(WEEKDAY($A341,2)&lt;&gt;7,"",IF(AND(OR(Q341="",N(Q341)&gt;=$A341+16/24,N(R341)&lt;=$A341+6/24),OR(S341="",N(S341)&lt;=$A341+6/24)),1,0)))</f>
        <v/>
      </c>
      <c r="X341" s="26" t="str">
        <f aca="false">IF($A341="","",IF(INDEX(Muster!$C$8:$BF$8,1,MOD($A341-Einstellungen!$C$6,Einstellungen!$C$7)+1)="","-",INDEX(Muster!$C$8:$BF$8,1,MOD($A341-Einstellungen!$C$6,Einstellungen!$C$7)+1)))</f>
        <v>F</v>
      </c>
      <c r="Y341" s="27" t="n">
        <f aca="false">IF($A341="","",IFERROR(VLOOKUP(X341,Schichten!$A$5:$G$24,6,FALSE()),0))</f>
        <v>8</v>
      </c>
      <c r="Z341" s="27" t="n">
        <f aca="false">IF($A341="","",IFERROR(VLOOKUP(X341,Schichten!$A$5:$G$24,7,FALSE()),0))</f>
        <v>0</v>
      </c>
      <c r="AA341" s="28" t="n">
        <f aca="false">IF($A341="","",IF(N(Y341)=0,"",$A341+VLOOKUP(X341,Schichten!$A$5:$G$24,3,FALSE())))</f>
        <v>46724.25</v>
      </c>
      <c r="AB341" s="28" t="n">
        <f aca="false">IF(AA341="","",$A341+VLOOKUP(X341,Schichten!$A$5:$G$24,4,FALSE())+IF(VLOOKUP(X341,Schichten!$A$5:$G$24,4,FALSE())&lt;=VLOOKUP(X341,Schichten!$A$5:$G$24,3,FALSE()),1,0))</f>
        <v>46724.5833333333</v>
      </c>
      <c r="AC341" s="28" t="n">
        <f aca="false">IF($A341="","",IF(N(Y340)&gt;0,AB340,AC340))</f>
        <v>46723.5833333333</v>
      </c>
      <c r="AD341" s="27" t="n">
        <f aca="false">IF(OR(AA341="",AC341=""),"",(AA341-AC341)*24)</f>
        <v>16</v>
      </c>
      <c r="AE341" s="21" t="n">
        <f aca="false">IF($A341="","",IF(N(Y341)&gt;0,N(AE340)+1,0))</f>
        <v>2</v>
      </c>
      <c r="AF341" s="21" t="n">
        <f aca="false">IF($A341="","",IF(N(Z341)&gt;0,N(AF340)+1,0))</f>
        <v>0</v>
      </c>
      <c r="AG341" s="21" t="str">
        <f aca="false">IF($A341="","",IF(WEEKDAY($A341,2)&lt;&gt;7,"",IF(AND(OR(AA341="",N(AA341)&gt;=$A341+16/24,N(AB341)&lt;=$A341+6/24),OR(AC341="",N(AC341)&lt;=$A341+6/24)),1,0)))</f>
        <v/>
      </c>
      <c r="AH341" s="26" t="str">
        <f aca="false">IF($A341="","",IF(INDEX(Muster!$C$9:$BF$9,1,MOD($A341-Einstellungen!$C$6,Einstellungen!$C$7)+1)="","-",INDEX(Muster!$C$9:$BF$9,1,MOD($A341-Einstellungen!$C$6,Einstellungen!$C$7)+1)))</f>
        <v>-</v>
      </c>
      <c r="AI341" s="27" t="n">
        <f aca="false">IF($A341="","",IFERROR(VLOOKUP(AH341,Schichten!$A$5:$G$24,6,FALSE()),0))</f>
        <v>0</v>
      </c>
      <c r="AJ341" s="27" t="n">
        <f aca="false">IF($A341="","",IFERROR(VLOOKUP(AH341,Schichten!$A$5:$G$24,7,FALSE()),0))</f>
        <v>0</v>
      </c>
      <c r="AK341" s="28" t="str">
        <f aca="false">IF($A341="","",IF(N(AI341)=0,"",$A341+VLOOKUP(AH341,Schichten!$A$5:$G$24,3,FALSE())))</f>
        <v/>
      </c>
      <c r="AL341" s="28" t="str">
        <f aca="false">IF(AK341="","",$A341+VLOOKUP(AH341,Schichten!$A$5:$G$24,4,FALSE())+IF(VLOOKUP(AH341,Schichten!$A$5:$G$24,4,FALSE())&lt;=VLOOKUP(AH341,Schichten!$A$5:$G$24,3,FALSE()),1,0))</f>
        <v/>
      </c>
      <c r="AM341" s="28" t="n">
        <f aca="false">IF($A341="","",IF(N(AI340)&gt;0,AL340,AM340))</f>
        <v>46723.25</v>
      </c>
      <c r="AN341" s="27" t="str">
        <f aca="false">IF(OR(AK341="",AM341=""),"",(AK341-AM341)*24)</f>
        <v/>
      </c>
      <c r="AO341" s="21" t="n">
        <f aca="false">IF($A341="","",IF(N(AI341)&gt;0,N(AO340)+1,0))</f>
        <v>0</v>
      </c>
      <c r="AP341" s="21" t="n">
        <f aca="false">IF($A341="","",IF(N(AJ341)&gt;0,N(AP340)+1,0))</f>
        <v>0</v>
      </c>
      <c r="AQ341" s="21" t="str">
        <f aca="false">IF($A341="","",IF(WEEKDAY($A341,2)&lt;&gt;7,"",IF(AND(OR(AK341="",N(AK341)&gt;=$A341+16/24,N(AL341)&lt;=$A341+6/24),OR(AM341="",N(AM341)&lt;=$A341+6/24)),1,0)))</f>
        <v/>
      </c>
      <c r="AR341" s="26" t="str">
        <f aca="false">IF($A341="","",IF(INDEX(Muster!$C$10:$BF$10,1,MOD($A341-Einstellungen!$C$6,Einstellungen!$C$7)+1)="","-",INDEX(Muster!$C$10:$BF$10,1,MOD($A341-Einstellungen!$C$6,Einstellungen!$C$7)+1)))</f>
        <v>-</v>
      </c>
      <c r="AS341" s="27" t="n">
        <f aca="false">IF($A341="","",IFERROR(VLOOKUP(AR341,Schichten!$A$5:$G$24,6,FALSE()),0))</f>
        <v>0</v>
      </c>
      <c r="AT341" s="27" t="n">
        <f aca="false">IF($A341="","",IFERROR(VLOOKUP(AR341,Schichten!$A$5:$G$24,7,FALSE()),0))</f>
        <v>0</v>
      </c>
      <c r="AU341" s="28" t="str">
        <f aca="false">IF($A341="","",IF(N(AS341)=0,"",$A341+VLOOKUP(AR341,Schichten!$A$5:$G$24,3,FALSE())))</f>
        <v/>
      </c>
      <c r="AV341" s="28" t="str">
        <f aca="false">IF(AU341="","",$A341+VLOOKUP(AR341,Schichten!$A$5:$G$24,4,FALSE())+IF(VLOOKUP(AR341,Schichten!$A$5:$G$24,4,FALSE())&lt;=VLOOKUP(AR341,Schichten!$A$5:$G$24,3,FALSE()),1,0))</f>
        <v/>
      </c>
      <c r="AW341" s="28" t="str">
        <f aca="false">IF($A341="","",IF(N(AS340)&gt;0,AV340,AW340))</f>
        <v/>
      </c>
      <c r="AX341" s="27" t="str">
        <f aca="false">IF(OR(AU341="",AW341=""),"",(AU341-AW341)*24)</f>
        <v/>
      </c>
      <c r="AY341" s="21" t="n">
        <f aca="false">IF($A341="","",IF(N(AS341)&gt;0,N(AY340)+1,0))</f>
        <v>0</v>
      </c>
      <c r="AZ341" s="21" t="n">
        <f aca="false">IF($A341="","",IF(N(AT341)&gt;0,N(AZ340)+1,0))</f>
        <v>0</v>
      </c>
      <c r="BA341" s="21" t="str">
        <f aca="false">IF($A341="","",IF(WEEKDAY($A341,2)&lt;&gt;7,"",IF(AND(OR(AU341="",N(AU341)&gt;=$A341+16/24,N(AV341)&lt;=$A341+6/24),OR(AW341="",N(AW341)&lt;=$A341+6/24)),1,0)))</f>
        <v/>
      </c>
    </row>
    <row r="342" customFormat="false" ht="15" hidden="false" customHeight="false" outlineLevel="0" collapsed="false">
      <c r="A342" s="25" t="n">
        <f aca="false">IF(YEAR(DATE(Einstellungen!$C$4,1,1)+337)=Einstellungen!$C$4,DATE(Einstellungen!$C$4,1,1)+337,"")</f>
        <v>46725</v>
      </c>
      <c r="B342" s="26" t="str">
        <f aca="false">IF($A342="","",CHOOSE(WEEKDAY($A342,2),"Mo","Di","Mi","Do","Fr","Sa","So"))</f>
        <v>Sa</v>
      </c>
      <c r="C342" s="26" t="n">
        <f aca="false">IF($A342="","",MONTH($A342))</f>
        <v>12</v>
      </c>
      <c r="D342" s="26" t="str">
        <f aca="false">IF($A342="","",IF(INDEX(Muster!$C$6:$BF$6,1,MOD($A342-Einstellungen!$C$6,Einstellungen!$C$7)+1)="","-",INDEX(Muster!$C$6:$BF$6,1,MOD($A342-Einstellungen!$C$6,Einstellungen!$C$7)+1)))</f>
        <v>-</v>
      </c>
      <c r="E342" s="27" t="n">
        <f aca="false">IF($A342="","",IFERROR(VLOOKUP(D342,Schichten!$A$5:$G$24,6,FALSE()),0))</f>
        <v>0</v>
      </c>
      <c r="F342" s="27" t="n">
        <f aca="false">IF($A342="","",IFERROR(VLOOKUP(D342,Schichten!$A$5:$G$24,7,FALSE()),0))</f>
        <v>0</v>
      </c>
      <c r="G342" s="28" t="str">
        <f aca="false">IF($A342="","",IF(N(E342)=0,"",$A342+VLOOKUP(D342,Schichten!$A$5:$G$24,3,FALSE())))</f>
        <v/>
      </c>
      <c r="H342" s="28" t="str">
        <f aca="false">IF(G342="","",$A342+VLOOKUP(D342,Schichten!$A$5:$G$24,4,FALSE())+IF(VLOOKUP(D342,Schichten!$A$5:$G$24,4,FALSE())&lt;=VLOOKUP(D342,Schichten!$A$5:$G$24,3,FALSE()),1,0))</f>
        <v/>
      </c>
      <c r="I342" s="28" t="n">
        <f aca="false">IF($A342="","",IF(N(E341)&gt;0,H341,I341))</f>
        <v>46725.25</v>
      </c>
      <c r="J342" s="27" t="str">
        <f aca="false">IF(OR(G342="",I342=""),"",(G342-I342)*24)</f>
        <v/>
      </c>
      <c r="K342" s="21" t="n">
        <f aca="false">IF($A342="","",IF(N(E342)&gt;0,N(K341)+1,0))</f>
        <v>0</v>
      </c>
      <c r="L342" s="21" t="n">
        <f aca="false">IF($A342="","",IF(N(F342)&gt;0,N(L341)+1,0))</f>
        <v>0</v>
      </c>
      <c r="M342" s="21" t="str">
        <f aca="false">IF($A342="","",IF(WEEKDAY($A342,2)&lt;&gt;7,"",IF(AND(OR(G342="",N(G342)&gt;=$A342+16/24,N(H342)&lt;=$A342+6/24),OR(I342="",N(I342)&lt;=$A342+6/24)),1,0)))</f>
        <v/>
      </c>
      <c r="N342" s="26" t="str">
        <f aca="false">IF($A342="","",IF(INDEX(Muster!$C$7:$BF$7,1,MOD($A342-Einstellungen!$C$6,Einstellungen!$C$7)+1)="","-",INDEX(Muster!$C$7:$BF$7,1,MOD($A342-Einstellungen!$C$6,Einstellungen!$C$7)+1)))</f>
        <v>N</v>
      </c>
      <c r="O342" s="27" t="n">
        <f aca="false">IF($A342="","",IFERROR(VLOOKUP(N342,Schichten!$A$5:$G$24,6,FALSE()),0))</f>
        <v>8</v>
      </c>
      <c r="P342" s="27" t="n">
        <f aca="false">IF($A342="","",IFERROR(VLOOKUP(N342,Schichten!$A$5:$G$24,7,FALSE()),0))</f>
        <v>7</v>
      </c>
      <c r="Q342" s="28" t="n">
        <f aca="false">IF($A342="","",IF(N(O342)=0,"",$A342+VLOOKUP(N342,Schichten!$A$5:$G$24,3,FALSE())))</f>
        <v>46725.9166666667</v>
      </c>
      <c r="R342" s="28" t="n">
        <f aca="false">IF(Q342="","",$A342+VLOOKUP(N342,Schichten!$A$5:$G$24,4,FALSE())+IF(VLOOKUP(N342,Schichten!$A$5:$G$24,4,FALSE())&lt;=VLOOKUP(N342,Schichten!$A$5:$G$24,3,FALSE()),1,0))</f>
        <v>46726.25</v>
      </c>
      <c r="S342" s="28" t="n">
        <f aca="false">IF($A342="","",IF(N(O341)&gt;0,R341,S341))</f>
        <v>46724.9166666667</v>
      </c>
      <c r="T342" s="27" t="n">
        <f aca="false">IF(OR(Q342="",S342=""),"",(Q342-S342)*24)</f>
        <v>24</v>
      </c>
      <c r="U342" s="21" t="n">
        <f aca="false">IF($A342="","",IF(N(O342)&gt;0,N(U341)+1,0))</f>
        <v>5</v>
      </c>
      <c r="V342" s="21" t="n">
        <f aca="false">IF($A342="","",IF(N(P342)&gt;0,N(V341)+1,0))</f>
        <v>1</v>
      </c>
      <c r="W342" s="21" t="str">
        <f aca="false">IF($A342="","",IF(WEEKDAY($A342,2)&lt;&gt;7,"",IF(AND(OR(Q342="",N(Q342)&gt;=$A342+16/24,N(R342)&lt;=$A342+6/24),OR(S342="",N(S342)&lt;=$A342+6/24)),1,0)))</f>
        <v/>
      </c>
      <c r="X342" s="26" t="str">
        <f aca="false">IF($A342="","",IF(INDEX(Muster!$C$8:$BF$8,1,MOD($A342-Einstellungen!$C$6,Einstellungen!$C$7)+1)="","-",INDEX(Muster!$C$8:$BF$8,1,MOD($A342-Einstellungen!$C$6,Einstellungen!$C$7)+1)))</f>
        <v>S</v>
      </c>
      <c r="Y342" s="27" t="n">
        <f aca="false">IF($A342="","",IFERROR(VLOOKUP(X342,Schichten!$A$5:$G$24,6,FALSE()),0))</f>
        <v>8</v>
      </c>
      <c r="Z342" s="27" t="n">
        <f aca="false">IF($A342="","",IFERROR(VLOOKUP(X342,Schichten!$A$5:$G$24,7,FALSE()),0))</f>
        <v>0</v>
      </c>
      <c r="AA342" s="28" t="n">
        <f aca="false">IF($A342="","",IF(N(Y342)=0,"",$A342+VLOOKUP(X342,Schichten!$A$5:$G$24,3,FALSE())))</f>
        <v>46725.5833333333</v>
      </c>
      <c r="AB342" s="28" t="n">
        <f aca="false">IF(AA342="","",$A342+VLOOKUP(X342,Schichten!$A$5:$G$24,4,FALSE())+IF(VLOOKUP(X342,Schichten!$A$5:$G$24,4,FALSE())&lt;=VLOOKUP(X342,Schichten!$A$5:$G$24,3,FALSE()),1,0))</f>
        <v>46725.9166666667</v>
      </c>
      <c r="AC342" s="28" t="n">
        <f aca="false">IF($A342="","",IF(N(Y341)&gt;0,AB341,AC341))</f>
        <v>46724.5833333333</v>
      </c>
      <c r="AD342" s="27" t="n">
        <f aca="false">IF(OR(AA342="",AC342=""),"",(AA342-AC342)*24)</f>
        <v>24</v>
      </c>
      <c r="AE342" s="21" t="n">
        <f aca="false">IF($A342="","",IF(N(Y342)&gt;0,N(AE341)+1,0))</f>
        <v>3</v>
      </c>
      <c r="AF342" s="21" t="n">
        <f aca="false">IF($A342="","",IF(N(Z342)&gt;0,N(AF341)+1,0))</f>
        <v>0</v>
      </c>
      <c r="AG342" s="21" t="str">
        <f aca="false">IF($A342="","",IF(WEEKDAY($A342,2)&lt;&gt;7,"",IF(AND(OR(AA342="",N(AA342)&gt;=$A342+16/24,N(AB342)&lt;=$A342+6/24),OR(AC342="",N(AC342)&lt;=$A342+6/24)),1,0)))</f>
        <v/>
      </c>
      <c r="AH342" s="26" t="str">
        <f aca="false">IF($A342="","",IF(INDEX(Muster!$C$9:$BF$9,1,MOD($A342-Einstellungen!$C$6,Einstellungen!$C$7)+1)="","-",INDEX(Muster!$C$9:$BF$9,1,MOD($A342-Einstellungen!$C$6,Einstellungen!$C$7)+1)))</f>
        <v>F</v>
      </c>
      <c r="AI342" s="27" t="n">
        <f aca="false">IF($A342="","",IFERROR(VLOOKUP(AH342,Schichten!$A$5:$G$24,6,FALSE()),0))</f>
        <v>8</v>
      </c>
      <c r="AJ342" s="27" t="n">
        <f aca="false">IF($A342="","",IFERROR(VLOOKUP(AH342,Schichten!$A$5:$G$24,7,FALSE()),0))</f>
        <v>0</v>
      </c>
      <c r="AK342" s="28" t="n">
        <f aca="false">IF($A342="","",IF(N(AI342)=0,"",$A342+VLOOKUP(AH342,Schichten!$A$5:$G$24,3,FALSE())))</f>
        <v>46725.25</v>
      </c>
      <c r="AL342" s="28" t="n">
        <f aca="false">IF(AK342="","",$A342+VLOOKUP(AH342,Schichten!$A$5:$G$24,4,FALSE())+IF(VLOOKUP(AH342,Schichten!$A$5:$G$24,4,FALSE())&lt;=VLOOKUP(AH342,Schichten!$A$5:$G$24,3,FALSE()),1,0))</f>
        <v>46725.5833333333</v>
      </c>
      <c r="AM342" s="28" t="n">
        <f aca="false">IF($A342="","",IF(N(AI341)&gt;0,AL341,AM341))</f>
        <v>46723.25</v>
      </c>
      <c r="AN342" s="27" t="n">
        <f aca="false">IF(OR(AK342="",AM342=""),"",(AK342-AM342)*24)</f>
        <v>48</v>
      </c>
      <c r="AO342" s="21" t="n">
        <f aca="false">IF($A342="","",IF(N(AI342)&gt;0,N(AO341)+1,0))</f>
        <v>1</v>
      </c>
      <c r="AP342" s="21" t="n">
        <f aca="false">IF($A342="","",IF(N(AJ342)&gt;0,N(AP341)+1,0))</f>
        <v>0</v>
      </c>
      <c r="AQ342" s="21" t="str">
        <f aca="false">IF($A342="","",IF(WEEKDAY($A342,2)&lt;&gt;7,"",IF(AND(OR(AK342="",N(AK342)&gt;=$A342+16/24,N(AL342)&lt;=$A342+6/24),OR(AM342="",N(AM342)&lt;=$A342+6/24)),1,0)))</f>
        <v/>
      </c>
      <c r="AR342" s="26" t="str">
        <f aca="false">IF($A342="","",IF(INDEX(Muster!$C$10:$BF$10,1,MOD($A342-Einstellungen!$C$6,Einstellungen!$C$7)+1)="","-",INDEX(Muster!$C$10:$BF$10,1,MOD($A342-Einstellungen!$C$6,Einstellungen!$C$7)+1)))</f>
        <v>-</v>
      </c>
      <c r="AS342" s="27" t="n">
        <f aca="false">IF($A342="","",IFERROR(VLOOKUP(AR342,Schichten!$A$5:$G$24,6,FALSE()),0))</f>
        <v>0</v>
      </c>
      <c r="AT342" s="27" t="n">
        <f aca="false">IF($A342="","",IFERROR(VLOOKUP(AR342,Schichten!$A$5:$G$24,7,FALSE()),0))</f>
        <v>0</v>
      </c>
      <c r="AU342" s="28" t="str">
        <f aca="false">IF($A342="","",IF(N(AS342)=0,"",$A342+VLOOKUP(AR342,Schichten!$A$5:$G$24,3,FALSE())))</f>
        <v/>
      </c>
      <c r="AV342" s="28" t="str">
        <f aca="false">IF(AU342="","",$A342+VLOOKUP(AR342,Schichten!$A$5:$G$24,4,FALSE())+IF(VLOOKUP(AR342,Schichten!$A$5:$G$24,4,FALSE())&lt;=VLOOKUP(AR342,Schichten!$A$5:$G$24,3,FALSE()),1,0))</f>
        <v/>
      </c>
      <c r="AW342" s="28" t="str">
        <f aca="false">IF($A342="","",IF(N(AS341)&gt;0,AV341,AW341))</f>
        <v/>
      </c>
      <c r="AX342" s="27" t="str">
        <f aca="false">IF(OR(AU342="",AW342=""),"",(AU342-AW342)*24)</f>
        <v/>
      </c>
      <c r="AY342" s="21" t="n">
        <f aca="false">IF($A342="","",IF(N(AS342)&gt;0,N(AY341)+1,0))</f>
        <v>0</v>
      </c>
      <c r="AZ342" s="21" t="n">
        <f aca="false">IF($A342="","",IF(N(AT342)&gt;0,N(AZ341)+1,0))</f>
        <v>0</v>
      </c>
      <c r="BA342" s="21" t="str">
        <f aca="false">IF($A342="","",IF(WEEKDAY($A342,2)&lt;&gt;7,"",IF(AND(OR(AU342="",N(AU342)&gt;=$A342+16/24,N(AV342)&lt;=$A342+6/24),OR(AW342="",N(AW342)&lt;=$A342+6/24)),1,0)))</f>
        <v/>
      </c>
    </row>
    <row r="343" customFormat="false" ht="15" hidden="false" customHeight="false" outlineLevel="0" collapsed="false">
      <c r="A343" s="25" t="n">
        <f aca="false">IF(YEAR(DATE(Einstellungen!$C$4,1,1)+338)=Einstellungen!$C$4,DATE(Einstellungen!$C$4,1,1)+338,"")</f>
        <v>46726</v>
      </c>
      <c r="B343" s="26" t="str">
        <f aca="false">IF($A343="","",CHOOSE(WEEKDAY($A343,2),"Mo","Di","Mi","Do","Fr","Sa","So"))</f>
        <v>So</v>
      </c>
      <c r="C343" s="26" t="n">
        <f aca="false">IF($A343="","",MONTH($A343))</f>
        <v>12</v>
      </c>
      <c r="D343" s="26" t="str">
        <f aca="false">IF($A343="","",IF(INDEX(Muster!$C$6:$BF$6,1,MOD($A343-Einstellungen!$C$6,Einstellungen!$C$7)+1)="","-",INDEX(Muster!$C$6:$BF$6,1,MOD($A343-Einstellungen!$C$6,Einstellungen!$C$7)+1)))</f>
        <v>-</v>
      </c>
      <c r="E343" s="27" t="n">
        <f aca="false">IF($A343="","",IFERROR(VLOOKUP(D343,Schichten!$A$5:$G$24,6,FALSE()),0))</f>
        <v>0</v>
      </c>
      <c r="F343" s="27" t="n">
        <f aca="false">IF($A343="","",IFERROR(VLOOKUP(D343,Schichten!$A$5:$G$24,7,FALSE()),0))</f>
        <v>0</v>
      </c>
      <c r="G343" s="28" t="str">
        <f aca="false">IF($A343="","",IF(N(E343)=0,"",$A343+VLOOKUP(D343,Schichten!$A$5:$G$24,3,FALSE())))</f>
        <v/>
      </c>
      <c r="H343" s="28" t="str">
        <f aca="false">IF(G343="","",$A343+VLOOKUP(D343,Schichten!$A$5:$G$24,4,FALSE())+IF(VLOOKUP(D343,Schichten!$A$5:$G$24,4,FALSE())&lt;=VLOOKUP(D343,Schichten!$A$5:$G$24,3,FALSE()),1,0))</f>
        <v/>
      </c>
      <c r="I343" s="28" t="n">
        <f aca="false">IF($A343="","",IF(N(E342)&gt;0,H342,I342))</f>
        <v>46725.25</v>
      </c>
      <c r="J343" s="27" t="str">
        <f aca="false">IF(OR(G343="",I343=""),"",(G343-I343)*24)</f>
        <v/>
      </c>
      <c r="K343" s="21" t="n">
        <f aca="false">IF($A343="","",IF(N(E343)&gt;0,N(K342)+1,0))</f>
        <v>0</v>
      </c>
      <c r="L343" s="21" t="n">
        <f aca="false">IF($A343="","",IF(N(F343)&gt;0,N(L342)+1,0))</f>
        <v>0</v>
      </c>
      <c r="M343" s="21" t="n">
        <f aca="false">IF($A343="","",IF(WEEKDAY($A343,2)&lt;&gt;7,"",IF(AND(OR(G343="",N(G343)&gt;=$A343+16/24,N(H343)&lt;=$A343+6/24),OR(I343="",N(I343)&lt;=$A343+6/24)),1,0)))</f>
        <v>1</v>
      </c>
      <c r="N343" s="26" t="str">
        <f aca="false">IF($A343="","",IF(INDEX(Muster!$C$7:$BF$7,1,MOD($A343-Einstellungen!$C$6,Einstellungen!$C$7)+1)="","-",INDEX(Muster!$C$7:$BF$7,1,MOD($A343-Einstellungen!$C$6,Einstellungen!$C$7)+1)))</f>
        <v>N</v>
      </c>
      <c r="O343" s="27" t="n">
        <f aca="false">IF($A343="","",IFERROR(VLOOKUP(N343,Schichten!$A$5:$G$24,6,FALSE()),0))</f>
        <v>8</v>
      </c>
      <c r="P343" s="27" t="n">
        <f aca="false">IF($A343="","",IFERROR(VLOOKUP(N343,Schichten!$A$5:$G$24,7,FALSE()),0))</f>
        <v>7</v>
      </c>
      <c r="Q343" s="28" t="n">
        <f aca="false">IF($A343="","",IF(N(O343)=0,"",$A343+VLOOKUP(N343,Schichten!$A$5:$G$24,3,FALSE())))</f>
        <v>46726.9166666667</v>
      </c>
      <c r="R343" s="28" t="n">
        <f aca="false">IF(Q343="","",$A343+VLOOKUP(N343,Schichten!$A$5:$G$24,4,FALSE())+IF(VLOOKUP(N343,Schichten!$A$5:$G$24,4,FALSE())&lt;=VLOOKUP(N343,Schichten!$A$5:$G$24,3,FALSE()),1,0))</f>
        <v>46727.25</v>
      </c>
      <c r="S343" s="28" t="n">
        <f aca="false">IF($A343="","",IF(N(O342)&gt;0,R342,S342))</f>
        <v>46726.25</v>
      </c>
      <c r="T343" s="27" t="n">
        <f aca="false">IF(OR(Q343="",S343=""),"",(Q343-S343)*24)</f>
        <v>16</v>
      </c>
      <c r="U343" s="21" t="n">
        <f aca="false">IF($A343="","",IF(N(O343)&gt;0,N(U342)+1,0))</f>
        <v>6</v>
      </c>
      <c r="V343" s="21" t="n">
        <f aca="false">IF($A343="","",IF(N(P343)&gt;0,N(V342)+1,0))</f>
        <v>2</v>
      </c>
      <c r="W343" s="21" t="n">
        <f aca="false">IF($A343="","",IF(WEEKDAY($A343,2)&lt;&gt;7,"",IF(AND(OR(Q343="",N(Q343)&gt;=$A343+16/24,N(R343)&lt;=$A343+6/24),OR(S343="",N(S343)&lt;=$A343+6/24)),1,0)))</f>
        <v>1</v>
      </c>
      <c r="X343" s="26" t="str">
        <f aca="false">IF($A343="","",IF(INDEX(Muster!$C$8:$BF$8,1,MOD($A343-Einstellungen!$C$6,Einstellungen!$C$7)+1)="","-",INDEX(Muster!$C$8:$BF$8,1,MOD($A343-Einstellungen!$C$6,Einstellungen!$C$7)+1)))</f>
        <v>S</v>
      </c>
      <c r="Y343" s="27" t="n">
        <f aca="false">IF($A343="","",IFERROR(VLOOKUP(X343,Schichten!$A$5:$G$24,6,FALSE()),0))</f>
        <v>8</v>
      </c>
      <c r="Z343" s="27" t="n">
        <f aca="false">IF($A343="","",IFERROR(VLOOKUP(X343,Schichten!$A$5:$G$24,7,FALSE()),0))</f>
        <v>0</v>
      </c>
      <c r="AA343" s="28" t="n">
        <f aca="false">IF($A343="","",IF(N(Y343)=0,"",$A343+VLOOKUP(X343,Schichten!$A$5:$G$24,3,FALSE())))</f>
        <v>46726.5833333333</v>
      </c>
      <c r="AB343" s="28" t="n">
        <f aca="false">IF(AA343="","",$A343+VLOOKUP(X343,Schichten!$A$5:$G$24,4,FALSE())+IF(VLOOKUP(X343,Schichten!$A$5:$G$24,4,FALSE())&lt;=VLOOKUP(X343,Schichten!$A$5:$G$24,3,FALSE()),1,0))</f>
        <v>46726.9166666667</v>
      </c>
      <c r="AC343" s="28" t="n">
        <f aca="false">IF($A343="","",IF(N(Y342)&gt;0,AB342,AC342))</f>
        <v>46725.9166666667</v>
      </c>
      <c r="AD343" s="27" t="n">
        <f aca="false">IF(OR(AA343="",AC343=""),"",(AA343-AC343)*24)</f>
        <v>16</v>
      </c>
      <c r="AE343" s="21" t="n">
        <f aca="false">IF($A343="","",IF(N(Y343)&gt;0,N(AE342)+1,0))</f>
        <v>4</v>
      </c>
      <c r="AF343" s="21" t="n">
        <f aca="false">IF($A343="","",IF(N(Z343)&gt;0,N(AF342)+1,0))</f>
        <v>0</v>
      </c>
      <c r="AG343" s="21" t="n">
        <f aca="false">IF($A343="","",IF(WEEKDAY($A343,2)&lt;&gt;7,"",IF(AND(OR(AA343="",N(AA343)&gt;=$A343+16/24,N(AB343)&lt;=$A343+6/24),OR(AC343="",N(AC343)&lt;=$A343+6/24)),1,0)))</f>
        <v>0</v>
      </c>
      <c r="AH343" s="26" t="str">
        <f aca="false">IF($A343="","",IF(INDEX(Muster!$C$9:$BF$9,1,MOD($A343-Einstellungen!$C$6,Einstellungen!$C$7)+1)="","-",INDEX(Muster!$C$9:$BF$9,1,MOD($A343-Einstellungen!$C$6,Einstellungen!$C$7)+1)))</f>
        <v>F</v>
      </c>
      <c r="AI343" s="27" t="n">
        <f aca="false">IF($A343="","",IFERROR(VLOOKUP(AH343,Schichten!$A$5:$G$24,6,FALSE()),0))</f>
        <v>8</v>
      </c>
      <c r="AJ343" s="27" t="n">
        <f aca="false">IF($A343="","",IFERROR(VLOOKUP(AH343,Schichten!$A$5:$G$24,7,FALSE()),0))</f>
        <v>0</v>
      </c>
      <c r="AK343" s="28" t="n">
        <f aca="false">IF($A343="","",IF(N(AI343)=0,"",$A343+VLOOKUP(AH343,Schichten!$A$5:$G$24,3,FALSE())))</f>
        <v>46726.25</v>
      </c>
      <c r="AL343" s="28" t="n">
        <f aca="false">IF(AK343="","",$A343+VLOOKUP(AH343,Schichten!$A$5:$G$24,4,FALSE())+IF(VLOOKUP(AH343,Schichten!$A$5:$G$24,4,FALSE())&lt;=VLOOKUP(AH343,Schichten!$A$5:$G$24,3,FALSE()),1,0))</f>
        <v>46726.5833333333</v>
      </c>
      <c r="AM343" s="28" t="n">
        <f aca="false">IF($A343="","",IF(N(AI342)&gt;0,AL342,AM342))</f>
        <v>46725.5833333333</v>
      </c>
      <c r="AN343" s="27" t="n">
        <f aca="false">IF(OR(AK343="",AM343=""),"",(AK343-AM343)*24)</f>
        <v>16</v>
      </c>
      <c r="AO343" s="21" t="n">
        <f aca="false">IF($A343="","",IF(N(AI343)&gt;0,N(AO342)+1,0))</f>
        <v>2</v>
      </c>
      <c r="AP343" s="21" t="n">
        <f aca="false">IF($A343="","",IF(N(AJ343)&gt;0,N(AP342)+1,0))</f>
        <v>0</v>
      </c>
      <c r="AQ343" s="21" t="n">
        <f aca="false">IF($A343="","",IF(WEEKDAY($A343,2)&lt;&gt;7,"",IF(AND(OR(AK343="",N(AK343)&gt;=$A343+16/24,N(AL343)&lt;=$A343+6/24),OR(AM343="",N(AM343)&lt;=$A343+6/24)),1,0)))</f>
        <v>0</v>
      </c>
      <c r="AR343" s="26" t="str">
        <f aca="false">IF($A343="","",IF(INDEX(Muster!$C$10:$BF$10,1,MOD($A343-Einstellungen!$C$6,Einstellungen!$C$7)+1)="","-",INDEX(Muster!$C$10:$BF$10,1,MOD($A343-Einstellungen!$C$6,Einstellungen!$C$7)+1)))</f>
        <v>-</v>
      </c>
      <c r="AS343" s="27" t="n">
        <f aca="false">IF($A343="","",IFERROR(VLOOKUP(AR343,Schichten!$A$5:$G$24,6,FALSE()),0))</f>
        <v>0</v>
      </c>
      <c r="AT343" s="27" t="n">
        <f aca="false">IF($A343="","",IFERROR(VLOOKUP(AR343,Schichten!$A$5:$G$24,7,FALSE()),0))</f>
        <v>0</v>
      </c>
      <c r="AU343" s="28" t="str">
        <f aca="false">IF($A343="","",IF(N(AS343)=0,"",$A343+VLOOKUP(AR343,Schichten!$A$5:$G$24,3,FALSE())))</f>
        <v/>
      </c>
      <c r="AV343" s="28" t="str">
        <f aca="false">IF(AU343="","",$A343+VLOOKUP(AR343,Schichten!$A$5:$G$24,4,FALSE())+IF(VLOOKUP(AR343,Schichten!$A$5:$G$24,4,FALSE())&lt;=VLOOKUP(AR343,Schichten!$A$5:$G$24,3,FALSE()),1,0))</f>
        <v/>
      </c>
      <c r="AW343" s="28" t="str">
        <f aca="false">IF($A343="","",IF(N(AS342)&gt;0,AV342,AW342))</f>
        <v/>
      </c>
      <c r="AX343" s="27" t="str">
        <f aca="false">IF(OR(AU343="",AW343=""),"",(AU343-AW343)*24)</f>
        <v/>
      </c>
      <c r="AY343" s="21" t="n">
        <f aca="false">IF($A343="","",IF(N(AS343)&gt;0,N(AY342)+1,0))</f>
        <v>0</v>
      </c>
      <c r="AZ343" s="21" t="n">
        <f aca="false">IF($A343="","",IF(N(AT343)&gt;0,N(AZ342)+1,0))</f>
        <v>0</v>
      </c>
      <c r="BA343" s="21" t="n">
        <f aca="false">IF($A343="","",IF(WEEKDAY($A343,2)&lt;&gt;7,"",IF(AND(OR(AU343="",N(AU343)&gt;=$A343+16/24,N(AV343)&lt;=$A343+6/24),OR(AW343="",N(AW343)&lt;=$A343+6/24)),1,0)))</f>
        <v>1</v>
      </c>
    </row>
    <row r="344" customFormat="false" ht="15" hidden="false" customHeight="false" outlineLevel="0" collapsed="false">
      <c r="A344" s="25" t="n">
        <f aca="false">IF(YEAR(DATE(Einstellungen!$C$4,1,1)+339)=Einstellungen!$C$4,DATE(Einstellungen!$C$4,1,1)+339,"")</f>
        <v>46727</v>
      </c>
      <c r="B344" s="26" t="str">
        <f aca="false">IF($A344="","",CHOOSE(WEEKDAY($A344,2),"Mo","Di","Mi","Do","Fr","Sa","So"))</f>
        <v>Mo</v>
      </c>
      <c r="C344" s="26" t="n">
        <f aca="false">IF($A344="","",MONTH($A344))</f>
        <v>12</v>
      </c>
      <c r="D344" s="26" t="str">
        <f aca="false">IF($A344="","",IF(INDEX(Muster!$C$6:$BF$6,1,MOD($A344-Einstellungen!$C$6,Einstellungen!$C$7)+1)="","-",INDEX(Muster!$C$6:$BF$6,1,MOD($A344-Einstellungen!$C$6,Einstellungen!$C$7)+1)))</f>
        <v>F</v>
      </c>
      <c r="E344" s="27" t="n">
        <f aca="false">IF($A344="","",IFERROR(VLOOKUP(D344,Schichten!$A$5:$G$24,6,FALSE()),0))</f>
        <v>8</v>
      </c>
      <c r="F344" s="27" t="n">
        <f aca="false">IF($A344="","",IFERROR(VLOOKUP(D344,Schichten!$A$5:$G$24,7,FALSE()),0))</f>
        <v>0</v>
      </c>
      <c r="G344" s="28" t="n">
        <f aca="false">IF($A344="","",IF(N(E344)=0,"",$A344+VLOOKUP(D344,Schichten!$A$5:$G$24,3,FALSE())))</f>
        <v>46727.25</v>
      </c>
      <c r="H344" s="28" t="n">
        <f aca="false">IF(G344="","",$A344+VLOOKUP(D344,Schichten!$A$5:$G$24,4,FALSE())+IF(VLOOKUP(D344,Schichten!$A$5:$G$24,4,FALSE())&lt;=VLOOKUP(D344,Schichten!$A$5:$G$24,3,FALSE()),1,0))</f>
        <v>46727.5833333333</v>
      </c>
      <c r="I344" s="28" t="n">
        <f aca="false">IF($A344="","",IF(N(E343)&gt;0,H343,I343))</f>
        <v>46725.25</v>
      </c>
      <c r="J344" s="27" t="n">
        <f aca="false">IF(OR(G344="",I344=""),"",(G344-I344)*24)</f>
        <v>48</v>
      </c>
      <c r="K344" s="21" t="n">
        <f aca="false">IF($A344="","",IF(N(E344)&gt;0,N(K343)+1,0))</f>
        <v>1</v>
      </c>
      <c r="L344" s="21" t="n">
        <f aca="false">IF($A344="","",IF(N(F344)&gt;0,N(L343)+1,0))</f>
        <v>0</v>
      </c>
      <c r="M344" s="21" t="str">
        <f aca="false">IF($A344="","",IF(WEEKDAY($A344,2)&lt;&gt;7,"",IF(AND(OR(G344="",N(G344)&gt;=$A344+16/24,N(H344)&lt;=$A344+6/24),OR(I344="",N(I344)&lt;=$A344+6/24)),1,0)))</f>
        <v/>
      </c>
      <c r="N344" s="26" t="str">
        <f aca="false">IF($A344="","",IF(INDEX(Muster!$C$7:$BF$7,1,MOD($A344-Einstellungen!$C$6,Einstellungen!$C$7)+1)="","-",INDEX(Muster!$C$7:$BF$7,1,MOD($A344-Einstellungen!$C$6,Einstellungen!$C$7)+1)))</f>
        <v>-</v>
      </c>
      <c r="O344" s="27" t="n">
        <f aca="false">IF($A344="","",IFERROR(VLOOKUP(N344,Schichten!$A$5:$G$24,6,FALSE()),0))</f>
        <v>0</v>
      </c>
      <c r="P344" s="27" t="n">
        <f aca="false">IF($A344="","",IFERROR(VLOOKUP(N344,Schichten!$A$5:$G$24,7,FALSE()),0))</f>
        <v>0</v>
      </c>
      <c r="Q344" s="28" t="str">
        <f aca="false">IF($A344="","",IF(N(O344)=0,"",$A344+VLOOKUP(N344,Schichten!$A$5:$G$24,3,FALSE())))</f>
        <v/>
      </c>
      <c r="R344" s="28" t="str">
        <f aca="false">IF(Q344="","",$A344+VLOOKUP(N344,Schichten!$A$5:$G$24,4,FALSE())+IF(VLOOKUP(N344,Schichten!$A$5:$G$24,4,FALSE())&lt;=VLOOKUP(N344,Schichten!$A$5:$G$24,3,FALSE()),1,0))</f>
        <v/>
      </c>
      <c r="S344" s="28" t="n">
        <f aca="false">IF($A344="","",IF(N(O343)&gt;0,R343,S343))</f>
        <v>46727.25</v>
      </c>
      <c r="T344" s="27" t="str">
        <f aca="false">IF(OR(Q344="",S344=""),"",(Q344-S344)*24)</f>
        <v/>
      </c>
      <c r="U344" s="21" t="n">
        <f aca="false">IF($A344="","",IF(N(O344)&gt;0,N(U343)+1,0))</f>
        <v>0</v>
      </c>
      <c r="V344" s="21" t="n">
        <f aca="false">IF($A344="","",IF(N(P344)&gt;0,N(V343)+1,0))</f>
        <v>0</v>
      </c>
      <c r="W344" s="21" t="str">
        <f aca="false">IF($A344="","",IF(WEEKDAY($A344,2)&lt;&gt;7,"",IF(AND(OR(Q344="",N(Q344)&gt;=$A344+16/24,N(R344)&lt;=$A344+6/24),OR(S344="",N(S344)&lt;=$A344+6/24)),1,0)))</f>
        <v/>
      </c>
      <c r="X344" s="26" t="str">
        <f aca="false">IF($A344="","",IF(INDEX(Muster!$C$8:$BF$8,1,MOD($A344-Einstellungen!$C$6,Einstellungen!$C$7)+1)="","-",INDEX(Muster!$C$8:$BF$8,1,MOD($A344-Einstellungen!$C$6,Einstellungen!$C$7)+1)))</f>
        <v>N</v>
      </c>
      <c r="Y344" s="27" t="n">
        <f aca="false">IF($A344="","",IFERROR(VLOOKUP(X344,Schichten!$A$5:$G$24,6,FALSE()),0))</f>
        <v>8</v>
      </c>
      <c r="Z344" s="27" t="n">
        <f aca="false">IF($A344="","",IFERROR(VLOOKUP(X344,Schichten!$A$5:$G$24,7,FALSE()),0))</f>
        <v>7</v>
      </c>
      <c r="AA344" s="28" t="n">
        <f aca="false">IF($A344="","",IF(N(Y344)=0,"",$A344+VLOOKUP(X344,Schichten!$A$5:$G$24,3,FALSE())))</f>
        <v>46727.9166666667</v>
      </c>
      <c r="AB344" s="28" t="n">
        <f aca="false">IF(AA344="","",$A344+VLOOKUP(X344,Schichten!$A$5:$G$24,4,FALSE())+IF(VLOOKUP(X344,Schichten!$A$5:$G$24,4,FALSE())&lt;=VLOOKUP(X344,Schichten!$A$5:$G$24,3,FALSE()),1,0))</f>
        <v>46728.25</v>
      </c>
      <c r="AC344" s="28" t="n">
        <f aca="false">IF($A344="","",IF(N(Y343)&gt;0,AB343,AC343))</f>
        <v>46726.9166666667</v>
      </c>
      <c r="AD344" s="27" t="n">
        <f aca="false">IF(OR(AA344="",AC344=""),"",(AA344-AC344)*24)</f>
        <v>24</v>
      </c>
      <c r="AE344" s="21" t="n">
        <f aca="false">IF($A344="","",IF(N(Y344)&gt;0,N(AE343)+1,0))</f>
        <v>5</v>
      </c>
      <c r="AF344" s="21" t="n">
        <f aca="false">IF($A344="","",IF(N(Z344)&gt;0,N(AF343)+1,0))</f>
        <v>1</v>
      </c>
      <c r="AG344" s="21" t="str">
        <f aca="false">IF($A344="","",IF(WEEKDAY($A344,2)&lt;&gt;7,"",IF(AND(OR(AA344="",N(AA344)&gt;=$A344+16/24,N(AB344)&lt;=$A344+6/24),OR(AC344="",N(AC344)&lt;=$A344+6/24)),1,0)))</f>
        <v/>
      </c>
      <c r="AH344" s="26" t="str">
        <f aca="false">IF($A344="","",IF(INDEX(Muster!$C$9:$BF$9,1,MOD($A344-Einstellungen!$C$6,Einstellungen!$C$7)+1)="","-",INDEX(Muster!$C$9:$BF$9,1,MOD($A344-Einstellungen!$C$6,Einstellungen!$C$7)+1)))</f>
        <v>S</v>
      </c>
      <c r="AI344" s="27" t="n">
        <f aca="false">IF($A344="","",IFERROR(VLOOKUP(AH344,Schichten!$A$5:$G$24,6,FALSE()),0))</f>
        <v>8</v>
      </c>
      <c r="AJ344" s="27" t="n">
        <f aca="false">IF($A344="","",IFERROR(VLOOKUP(AH344,Schichten!$A$5:$G$24,7,FALSE()),0))</f>
        <v>0</v>
      </c>
      <c r="AK344" s="28" t="n">
        <f aca="false">IF($A344="","",IF(N(AI344)=0,"",$A344+VLOOKUP(AH344,Schichten!$A$5:$G$24,3,FALSE())))</f>
        <v>46727.5833333333</v>
      </c>
      <c r="AL344" s="28" t="n">
        <f aca="false">IF(AK344="","",$A344+VLOOKUP(AH344,Schichten!$A$5:$G$24,4,FALSE())+IF(VLOOKUP(AH344,Schichten!$A$5:$G$24,4,FALSE())&lt;=VLOOKUP(AH344,Schichten!$A$5:$G$24,3,FALSE()),1,0))</f>
        <v>46727.9166666667</v>
      </c>
      <c r="AM344" s="28" t="n">
        <f aca="false">IF($A344="","",IF(N(AI343)&gt;0,AL343,AM343))</f>
        <v>46726.5833333333</v>
      </c>
      <c r="AN344" s="27" t="n">
        <f aca="false">IF(OR(AK344="",AM344=""),"",(AK344-AM344)*24)</f>
        <v>24</v>
      </c>
      <c r="AO344" s="21" t="n">
        <f aca="false">IF($A344="","",IF(N(AI344)&gt;0,N(AO343)+1,0))</f>
        <v>3</v>
      </c>
      <c r="AP344" s="21" t="n">
        <f aca="false">IF($A344="","",IF(N(AJ344)&gt;0,N(AP343)+1,0))</f>
        <v>0</v>
      </c>
      <c r="AQ344" s="21" t="str">
        <f aca="false">IF($A344="","",IF(WEEKDAY($A344,2)&lt;&gt;7,"",IF(AND(OR(AK344="",N(AK344)&gt;=$A344+16/24,N(AL344)&lt;=$A344+6/24),OR(AM344="",N(AM344)&lt;=$A344+6/24)),1,0)))</f>
        <v/>
      </c>
      <c r="AR344" s="26" t="str">
        <f aca="false">IF($A344="","",IF(INDEX(Muster!$C$10:$BF$10,1,MOD($A344-Einstellungen!$C$6,Einstellungen!$C$7)+1)="","-",INDEX(Muster!$C$10:$BF$10,1,MOD($A344-Einstellungen!$C$6,Einstellungen!$C$7)+1)))</f>
        <v>-</v>
      </c>
      <c r="AS344" s="27" t="n">
        <f aca="false">IF($A344="","",IFERROR(VLOOKUP(AR344,Schichten!$A$5:$G$24,6,FALSE()),0))</f>
        <v>0</v>
      </c>
      <c r="AT344" s="27" t="n">
        <f aca="false">IF($A344="","",IFERROR(VLOOKUP(AR344,Schichten!$A$5:$G$24,7,FALSE()),0))</f>
        <v>0</v>
      </c>
      <c r="AU344" s="28" t="str">
        <f aca="false">IF($A344="","",IF(N(AS344)=0,"",$A344+VLOOKUP(AR344,Schichten!$A$5:$G$24,3,FALSE())))</f>
        <v/>
      </c>
      <c r="AV344" s="28" t="str">
        <f aca="false">IF(AU344="","",$A344+VLOOKUP(AR344,Schichten!$A$5:$G$24,4,FALSE())+IF(VLOOKUP(AR344,Schichten!$A$5:$G$24,4,FALSE())&lt;=VLOOKUP(AR344,Schichten!$A$5:$G$24,3,FALSE()),1,0))</f>
        <v/>
      </c>
      <c r="AW344" s="28" t="str">
        <f aca="false">IF($A344="","",IF(N(AS343)&gt;0,AV343,AW343))</f>
        <v/>
      </c>
      <c r="AX344" s="27" t="str">
        <f aca="false">IF(OR(AU344="",AW344=""),"",(AU344-AW344)*24)</f>
        <v/>
      </c>
      <c r="AY344" s="21" t="n">
        <f aca="false">IF($A344="","",IF(N(AS344)&gt;0,N(AY343)+1,0))</f>
        <v>0</v>
      </c>
      <c r="AZ344" s="21" t="n">
        <f aca="false">IF($A344="","",IF(N(AT344)&gt;0,N(AZ343)+1,0))</f>
        <v>0</v>
      </c>
      <c r="BA344" s="21" t="str">
        <f aca="false">IF($A344="","",IF(WEEKDAY($A344,2)&lt;&gt;7,"",IF(AND(OR(AU344="",N(AU344)&gt;=$A344+16/24,N(AV344)&lt;=$A344+6/24),OR(AW344="",N(AW344)&lt;=$A344+6/24)),1,0)))</f>
        <v/>
      </c>
    </row>
    <row r="345" customFormat="false" ht="15" hidden="false" customHeight="false" outlineLevel="0" collapsed="false">
      <c r="A345" s="25" t="n">
        <f aca="false">IF(YEAR(DATE(Einstellungen!$C$4,1,1)+340)=Einstellungen!$C$4,DATE(Einstellungen!$C$4,1,1)+340,"")</f>
        <v>46728</v>
      </c>
      <c r="B345" s="26" t="str">
        <f aca="false">IF($A345="","",CHOOSE(WEEKDAY($A345,2),"Mo","Di","Mi","Do","Fr","Sa","So"))</f>
        <v>Di</v>
      </c>
      <c r="C345" s="26" t="n">
        <f aca="false">IF($A345="","",MONTH($A345))</f>
        <v>12</v>
      </c>
      <c r="D345" s="26" t="str">
        <f aca="false">IF($A345="","",IF(INDEX(Muster!$C$6:$BF$6,1,MOD($A345-Einstellungen!$C$6,Einstellungen!$C$7)+1)="","-",INDEX(Muster!$C$6:$BF$6,1,MOD($A345-Einstellungen!$C$6,Einstellungen!$C$7)+1)))</f>
        <v>F</v>
      </c>
      <c r="E345" s="27" t="n">
        <f aca="false">IF($A345="","",IFERROR(VLOOKUP(D345,Schichten!$A$5:$G$24,6,FALSE()),0))</f>
        <v>8</v>
      </c>
      <c r="F345" s="27" t="n">
        <f aca="false">IF($A345="","",IFERROR(VLOOKUP(D345,Schichten!$A$5:$G$24,7,FALSE()),0))</f>
        <v>0</v>
      </c>
      <c r="G345" s="28" t="n">
        <f aca="false">IF($A345="","",IF(N(E345)=0,"",$A345+VLOOKUP(D345,Schichten!$A$5:$G$24,3,FALSE())))</f>
        <v>46728.25</v>
      </c>
      <c r="H345" s="28" t="n">
        <f aca="false">IF(G345="","",$A345+VLOOKUP(D345,Schichten!$A$5:$G$24,4,FALSE())+IF(VLOOKUP(D345,Schichten!$A$5:$G$24,4,FALSE())&lt;=VLOOKUP(D345,Schichten!$A$5:$G$24,3,FALSE()),1,0))</f>
        <v>46728.5833333333</v>
      </c>
      <c r="I345" s="28" t="n">
        <f aca="false">IF($A345="","",IF(N(E344)&gt;0,H344,I344))</f>
        <v>46727.5833333333</v>
      </c>
      <c r="J345" s="27" t="n">
        <f aca="false">IF(OR(G345="",I345=""),"",(G345-I345)*24)</f>
        <v>16</v>
      </c>
      <c r="K345" s="21" t="n">
        <f aca="false">IF($A345="","",IF(N(E345)&gt;0,N(K344)+1,0))</f>
        <v>2</v>
      </c>
      <c r="L345" s="21" t="n">
        <f aca="false">IF($A345="","",IF(N(F345)&gt;0,N(L344)+1,0))</f>
        <v>0</v>
      </c>
      <c r="M345" s="21" t="str">
        <f aca="false">IF($A345="","",IF(WEEKDAY($A345,2)&lt;&gt;7,"",IF(AND(OR(G345="",N(G345)&gt;=$A345+16/24,N(H345)&lt;=$A345+6/24),OR(I345="",N(I345)&lt;=$A345+6/24)),1,0)))</f>
        <v/>
      </c>
      <c r="N345" s="26" t="str">
        <f aca="false">IF($A345="","",IF(INDEX(Muster!$C$7:$BF$7,1,MOD($A345-Einstellungen!$C$6,Einstellungen!$C$7)+1)="","-",INDEX(Muster!$C$7:$BF$7,1,MOD($A345-Einstellungen!$C$6,Einstellungen!$C$7)+1)))</f>
        <v>-</v>
      </c>
      <c r="O345" s="27" t="n">
        <f aca="false">IF($A345="","",IFERROR(VLOOKUP(N345,Schichten!$A$5:$G$24,6,FALSE()),0))</f>
        <v>0</v>
      </c>
      <c r="P345" s="27" t="n">
        <f aca="false">IF($A345="","",IFERROR(VLOOKUP(N345,Schichten!$A$5:$G$24,7,FALSE()),0))</f>
        <v>0</v>
      </c>
      <c r="Q345" s="28" t="str">
        <f aca="false">IF($A345="","",IF(N(O345)=0,"",$A345+VLOOKUP(N345,Schichten!$A$5:$G$24,3,FALSE())))</f>
        <v/>
      </c>
      <c r="R345" s="28" t="str">
        <f aca="false">IF(Q345="","",$A345+VLOOKUP(N345,Schichten!$A$5:$G$24,4,FALSE())+IF(VLOOKUP(N345,Schichten!$A$5:$G$24,4,FALSE())&lt;=VLOOKUP(N345,Schichten!$A$5:$G$24,3,FALSE()),1,0))</f>
        <v/>
      </c>
      <c r="S345" s="28" t="n">
        <f aca="false">IF($A345="","",IF(N(O344)&gt;0,R344,S344))</f>
        <v>46727.25</v>
      </c>
      <c r="T345" s="27" t="str">
        <f aca="false">IF(OR(Q345="",S345=""),"",(Q345-S345)*24)</f>
        <v/>
      </c>
      <c r="U345" s="21" t="n">
        <f aca="false">IF($A345="","",IF(N(O345)&gt;0,N(U344)+1,0))</f>
        <v>0</v>
      </c>
      <c r="V345" s="21" t="n">
        <f aca="false">IF($A345="","",IF(N(P345)&gt;0,N(V344)+1,0))</f>
        <v>0</v>
      </c>
      <c r="W345" s="21" t="str">
        <f aca="false">IF($A345="","",IF(WEEKDAY($A345,2)&lt;&gt;7,"",IF(AND(OR(Q345="",N(Q345)&gt;=$A345+16/24,N(R345)&lt;=$A345+6/24),OR(S345="",N(S345)&lt;=$A345+6/24)),1,0)))</f>
        <v/>
      </c>
      <c r="X345" s="26" t="str">
        <f aca="false">IF($A345="","",IF(INDEX(Muster!$C$8:$BF$8,1,MOD($A345-Einstellungen!$C$6,Einstellungen!$C$7)+1)="","-",INDEX(Muster!$C$8:$BF$8,1,MOD($A345-Einstellungen!$C$6,Einstellungen!$C$7)+1)))</f>
        <v>N</v>
      </c>
      <c r="Y345" s="27" t="n">
        <f aca="false">IF($A345="","",IFERROR(VLOOKUP(X345,Schichten!$A$5:$G$24,6,FALSE()),0))</f>
        <v>8</v>
      </c>
      <c r="Z345" s="27" t="n">
        <f aca="false">IF($A345="","",IFERROR(VLOOKUP(X345,Schichten!$A$5:$G$24,7,FALSE()),0))</f>
        <v>7</v>
      </c>
      <c r="AA345" s="28" t="n">
        <f aca="false">IF($A345="","",IF(N(Y345)=0,"",$A345+VLOOKUP(X345,Schichten!$A$5:$G$24,3,FALSE())))</f>
        <v>46728.9166666667</v>
      </c>
      <c r="AB345" s="28" t="n">
        <f aca="false">IF(AA345="","",$A345+VLOOKUP(X345,Schichten!$A$5:$G$24,4,FALSE())+IF(VLOOKUP(X345,Schichten!$A$5:$G$24,4,FALSE())&lt;=VLOOKUP(X345,Schichten!$A$5:$G$24,3,FALSE()),1,0))</f>
        <v>46729.25</v>
      </c>
      <c r="AC345" s="28" t="n">
        <f aca="false">IF($A345="","",IF(N(Y344)&gt;0,AB344,AC344))</f>
        <v>46728.25</v>
      </c>
      <c r="AD345" s="27" t="n">
        <f aca="false">IF(OR(AA345="",AC345=""),"",(AA345-AC345)*24)</f>
        <v>16</v>
      </c>
      <c r="AE345" s="21" t="n">
        <f aca="false">IF($A345="","",IF(N(Y345)&gt;0,N(AE344)+1,0))</f>
        <v>6</v>
      </c>
      <c r="AF345" s="21" t="n">
        <f aca="false">IF($A345="","",IF(N(Z345)&gt;0,N(AF344)+1,0))</f>
        <v>2</v>
      </c>
      <c r="AG345" s="21" t="str">
        <f aca="false">IF($A345="","",IF(WEEKDAY($A345,2)&lt;&gt;7,"",IF(AND(OR(AA345="",N(AA345)&gt;=$A345+16/24,N(AB345)&lt;=$A345+6/24),OR(AC345="",N(AC345)&lt;=$A345+6/24)),1,0)))</f>
        <v/>
      </c>
      <c r="AH345" s="26" t="str">
        <f aca="false">IF($A345="","",IF(INDEX(Muster!$C$9:$BF$9,1,MOD($A345-Einstellungen!$C$6,Einstellungen!$C$7)+1)="","-",INDEX(Muster!$C$9:$BF$9,1,MOD($A345-Einstellungen!$C$6,Einstellungen!$C$7)+1)))</f>
        <v>S</v>
      </c>
      <c r="AI345" s="27" t="n">
        <f aca="false">IF($A345="","",IFERROR(VLOOKUP(AH345,Schichten!$A$5:$G$24,6,FALSE()),0))</f>
        <v>8</v>
      </c>
      <c r="AJ345" s="27" t="n">
        <f aca="false">IF($A345="","",IFERROR(VLOOKUP(AH345,Schichten!$A$5:$G$24,7,FALSE()),0))</f>
        <v>0</v>
      </c>
      <c r="AK345" s="28" t="n">
        <f aca="false">IF($A345="","",IF(N(AI345)=0,"",$A345+VLOOKUP(AH345,Schichten!$A$5:$G$24,3,FALSE())))</f>
        <v>46728.5833333333</v>
      </c>
      <c r="AL345" s="28" t="n">
        <f aca="false">IF(AK345="","",$A345+VLOOKUP(AH345,Schichten!$A$5:$G$24,4,FALSE())+IF(VLOOKUP(AH345,Schichten!$A$5:$G$24,4,FALSE())&lt;=VLOOKUP(AH345,Schichten!$A$5:$G$24,3,FALSE()),1,0))</f>
        <v>46728.9166666667</v>
      </c>
      <c r="AM345" s="28" t="n">
        <f aca="false">IF($A345="","",IF(N(AI344)&gt;0,AL344,AM344))</f>
        <v>46727.9166666667</v>
      </c>
      <c r="AN345" s="27" t="n">
        <f aca="false">IF(OR(AK345="",AM345=""),"",(AK345-AM345)*24)</f>
        <v>16</v>
      </c>
      <c r="AO345" s="21" t="n">
        <f aca="false">IF($A345="","",IF(N(AI345)&gt;0,N(AO344)+1,0))</f>
        <v>4</v>
      </c>
      <c r="AP345" s="21" t="n">
        <f aca="false">IF($A345="","",IF(N(AJ345)&gt;0,N(AP344)+1,0))</f>
        <v>0</v>
      </c>
      <c r="AQ345" s="21" t="str">
        <f aca="false">IF($A345="","",IF(WEEKDAY($A345,2)&lt;&gt;7,"",IF(AND(OR(AK345="",N(AK345)&gt;=$A345+16/24,N(AL345)&lt;=$A345+6/24),OR(AM345="",N(AM345)&lt;=$A345+6/24)),1,0)))</f>
        <v/>
      </c>
      <c r="AR345" s="26" t="str">
        <f aca="false">IF($A345="","",IF(INDEX(Muster!$C$10:$BF$10,1,MOD($A345-Einstellungen!$C$6,Einstellungen!$C$7)+1)="","-",INDEX(Muster!$C$10:$BF$10,1,MOD($A345-Einstellungen!$C$6,Einstellungen!$C$7)+1)))</f>
        <v>-</v>
      </c>
      <c r="AS345" s="27" t="n">
        <f aca="false">IF($A345="","",IFERROR(VLOOKUP(AR345,Schichten!$A$5:$G$24,6,FALSE()),0))</f>
        <v>0</v>
      </c>
      <c r="AT345" s="27" t="n">
        <f aca="false">IF($A345="","",IFERROR(VLOOKUP(AR345,Schichten!$A$5:$G$24,7,FALSE()),0))</f>
        <v>0</v>
      </c>
      <c r="AU345" s="28" t="str">
        <f aca="false">IF($A345="","",IF(N(AS345)=0,"",$A345+VLOOKUP(AR345,Schichten!$A$5:$G$24,3,FALSE())))</f>
        <v/>
      </c>
      <c r="AV345" s="28" t="str">
        <f aca="false">IF(AU345="","",$A345+VLOOKUP(AR345,Schichten!$A$5:$G$24,4,FALSE())+IF(VLOOKUP(AR345,Schichten!$A$5:$G$24,4,FALSE())&lt;=VLOOKUP(AR345,Schichten!$A$5:$G$24,3,FALSE()),1,0))</f>
        <v/>
      </c>
      <c r="AW345" s="28" t="str">
        <f aca="false">IF($A345="","",IF(N(AS344)&gt;0,AV344,AW344))</f>
        <v/>
      </c>
      <c r="AX345" s="27" t="str">
        <f aca="false">IF(OR(AU345="",AW345=""),"",(AU345-AW345)*24)</f>
        <v/>
      </c>
      <c r="AY345" s="21" t="n">
        <f aca="false">IF($A345="","",IF(N(AS345)&gt;0,N(AY344)+1,0))</f>
        <v>0</v>
      </c>
      <c r="AZ345" s="21" t="n">
        <f aca="false">IF($A345="","",IF(N(AT345)&gt;0,N(AZ344)+1,0))</f>
        <v>0</v>
      </c>
      <c r="BA345" s="21" t="str">
        <f aca="false">IF($A345="","",IF(WEEKDAY($A345,2)&lt;&gt;7,"",IF(AND(OR(AU345="",N(AU345)&gt;=$A345+16/24,N(AV345)&lt;=$A345+6/24),OR(AW345="",N(AW345)&lt;=$A345+6/24)),1,0)))</f>
        <v/>
      </c>
    </row>
    <row r="346" customFormat="false" ht="15" hidden="false" customHeight="false" outlineLevel="0" collapsed="false">
      <c r="A346" s="25" t="n">
        <f aca="false">IF(YEAR(DATE(Einstellungen!$C$4,1,1)+341)=Einstellungen!$C$4,DATE(Einstellungen!$C$4,1,1)+341,"")</f>
        <v>46729</v>
      </c>
      <c r="B346" s="26" t="str">
        <f aca="false">IF($A346="","",CHOOSE(WEEKDAY($A346,2),"Mo","Di","Mi","Do","Fr","Sa","So"))</f>
        <v>Mi</v>
      </c>
      <c r="C346" s="26" t="n">
        <f aca="false">IF($A346="","",MONTH($A346))</f>
        <v>12</v>
      </c>
      <c r="D346" s="26" t="str">
        <f aca="false">IF($A346="","",IF(INDEX(Muster!$C$6:$BF$6,1,MOD($A346-Einstellungen!$C$6,Einstellungen!$C$7)+1)="","-",INDEX(Muster!$C$6:$BF$6,1,MOD($A346-Einstellungen!$C$6,Einstellungen!$C$7)+1)))</f>
        <v>S</v>
      </c>
      <c r="E346" s="27" t="n">
        <f aca="false">IF($A346="","",IFERROR(VLOOKUP(D346,Schichten!$A$5:$G$24,6,FALSE()),0))</f>
        <v>8</v>
      </c>
      <c r="F346" s="27" t="n">
        <f aca="false">IF($A346="","",IFERROR(VLOOKUP(D346,Schichten!$A$5:$G$24,7,FALSE()),0))</f>
        <v>0</v>
      </c>
      <c r="G346" s="28" t="n">
        <f aca="false">IF($A346="","",IF(N(E346)=0,"",$A346+VLOOKUP(D346,Schichten!$A$5:$G$24,3,FALSE())))</f>
        <v>46729.5833333333</v>
      </c>
      <c r="H346" s="28" t="n">
        <f aca="false">IF(G346="","",$A346+VLOOKUP(D346,Schichten!$A$5:$G$24,4,FALSE())+IF(VLOOKUP(D346,Schichten!$A$5:$G$24,4,FALSE())&lt;=VLOOKUP(D346,Schichten!$A$5:$G$24,3,FALSE()),1,0))</f>
        <v>46729.9166666667</v>
      </c>
      <c r="I346" s="28" t="n">
        <f aca="false">IF($A346="","",IF(N(E345)&gt;0,H345,I345))</f>
        <v>46728.5833333333</v>
      </c>
      <c r="J346" s="27" t="n">
        <f aca="false">IF(OR(G346="",I346=""),"",(G346-I346)*24)</f>
        <v>24</v>
      </c>
      <c r="K346" s="21" t="n">
        <f aca="false">IF($A346="","",IF(N(E346)&gt;0,N(K345)+1,0))</f>
        <v>3</v>
      </c>
      <c r="L346" s="21" t="n">
        <f aca="false">IF($A346="","",IF(N(F346)&gt;0,N(L345)+1,0))</f>
        <v>0</v>
      </c>
      <c r="M346" s="21" t="str">
        <f aca="false">IF($A346="","",IF(WEEKDAY($A346,2)&lt;&gt;7,"",IF(AND(OR(G346="",N(G346)&gt;=$A346+16/24,N(H346)&lt;=$A346+6/24),OR(I346="",N(I346)&lt;=$A346+6/24)),1,0)))</f>
        <v/>
      </c>
      <c r="N346" s="26" t="str">
        <f aca="false">IF($A346="","",IF(INDEX(Muster!$C$7:$BF$7,1,MOD($A346-Einstellungen!$C$6,Einstellungen!$C$7)+1)="","-",INDEX(Muster!$C$7:$BF$7,1,MOD($A346-Einstellungen!$C$6,Einstellungen!$C$7)+1)))</f>
        <v>F</v>
      </c>
      <c r="O346" s="27" t="n">
        <f aca="false">IF($A346="","",IFERROR(VLOOKUP(N346,Schichten!$A$5:$G$24,6,FALSE()),0))</f>
        <v>8</v>
      </c>
      <c r="P346" s="27" t="n">
        <f aca="false">IF($A346="","",IFERROR(VLOOKUP(N346,Schichten!$A$5:$G$24,7,FALSE()),0))</f>
        <v>0</v>
      </c>
      <c r="Q346" s="28" t="n">
        <f aca="false">IF($A346="","",IF(N(O346)=0,"",$A346+VLOOKUP(N346,Schichten!$A$5:$G$24,3,FALSE())))</f>
        <v>46729.25</v>
      </c>
      <c r="R346" s="28" t="n">
        <f aca="false">IF(Q346="","",$A346+VLOOKUP(N346,Schichten!$A$5:$G$24,4,FALSE())+IF(VLOOKUP(N346,Schichten!$A$5:$G$24,4,FALSE())&lt;=VLOOKUP(N346,Schichten!$A$5:$G$24,3,FALSE()),1,0))</f>
        <v>46729.5833333333</v>
      </c>
      <c r="S346" s="28" t="n">
        <f aca="false">IF($A346="","",IF(N(O345)&gt;0,R345,S345))</f>
        <v>46727.25</v>
      </c>
      <c r="T346" s="27" t="n">
        <f aca="false">IF(OR(Q346="",S346=""),"",(Q346-S346)*24)</f>
        <v>48</v>
      </c>
      <c r="U346" s="21" t="n">
        <f aca="false">IF($A346="","",IF(N(O346)&gt;0,N(U345)+1,0))</f>
        <v>1</v>
      </c>
      <c r="V346" s="21" t="n">
        <f aca="false">IF($A346="","",IF(N(P346)&gt;0,N(V345)+1,0))</f>
        <v>0</v>
      </c>
      <c r="W346" s="21" t="str">
        <f aca="false">IF($A346="","",IF(WEEKDAY($A346,2)&lt;&gt;7,"",IF(AND(OR(Q346="",N(Q346)&gt;=$A346+16/24,N(R346)&lt;=$A346+6/24),OR(S346="",N(S346)&lt;=$A346+6/24)),1,0)))</f>
        <v/>
      </c>
      <c r="X346" s="26" t="str">
        <f aca="false">IF($A346="","",IF(INDEX(Muster!$C$8:$BF$8,1,MOD($A346-Einstellungen!$C$6,Einstellungen!$C$7)+1)="","-",INDEX(Muster!$C$8:$BF$8,1,MOD($A346-Einstellungen!$C$6,Einstellungen!$C$7)+1)))</f>
        <v>-</v>
      </c>
      <c r="Y346" s="27" t="n">
        <f aca="false">IF($A346="","",IFERROR(VLOOKUP(X346,Schichten!$A$5:$G$24,6,FALSE()),0))</f>
        <v>0</v>
      </c>
      <c r="Z346" s="27" t="n">
        <f aca="false">IF($A346="","",IFERROR(VLOOKUP(X346,Schichten!$A$5:$G$24,7,FALSE()),0))</f>
        <v>0</v>
      </c>
      <c r="AA346" s="28" t="str">
        <f aca="false">IF($A346="","",IF(N(Y346)=0,"",$A346+VLOOKUP(X346,Schichten!$A$5:$G$24,3,FALSE())))</f>
        <v/>
      </c>
      <c r="AB346" s="28" t="str">
        <f aca="false">IF(AA346="","",$A346+VLOOKUP(X346,Schichten!$A$5:$G$24,4,FALSE())+IF(VLOOKUP(X346,Schichten!$A$5:$G$24,4,FALSE())&lt;=VLOOKUP(X346,Schichten!$A$5:$G$24,3,FALSE()),1,0))</f>
        <v/>
      </c>
      <c r="AC346" s="28" t="n">
        <f aca="false">IF($A346="","",IF(N(Y345)&gt;0,AB345,AC345))</f>
        <v>46729.25</v>
      </c>
      <c r="AD346" s="27" t="str">
        <f aca="false">IF(OR(AA346="",AC346=""),"",(AA346-AC346)*24)</f>
        <v/>
      </c>
      <c r="AE346" s="21" t="n">
        <f aca="false">IF($A346="","",IF(N(Y346)&gt;0,N(AE345)+1,0))</f>
        <v>0</v>
      </c>
      <c r="AF346" s="21" t="n">
        <f aca="false">IF($A346="","",IF(N(Z346)&gt;0,N(AF345)+1,0))</f>
        <v>0</v>
      </c>
      <c r="AG346" s="21" t="str">
        <f aca="false">IF($A346="","",IF(WEEKDAY($A346,2)&lt;&gt;7,"",IF(AND(OR(AA346="",N(AA346)&gt;=$A346+16/24,N(AB346)&lt;=$A346+6/24),OR(AC346="",N(AC346)&lt;=$A346+6/24)),1,0)))</f>
        <v/>
      </c>
      <c r="AH346" s="26" t="str">
        <f aca="false">IF($A346="","",IF(INDEX(Muster!$C$9:$BF$9,1,MOD($A346-Einstellungen!$C$6,Einstellungen!$C$7)+1)="","-",INDEX(Muster!$C$9:$BF$9,1,MOD($A346-Einstellungen!$C$6,Einstellungen!$C$7)+1)))</f>
        <v>N</v>
      </c>
      <c r="AI346" s="27" t="n">
        <f aca="false">IF($A346="","",IFERROR(VLOOKUP(AH346,Schichten!$A$5:$G$24,6,FALSE()),0))</f>
        <v>8</v>
      </c>
      <c r="AJ346" s="27" t="n">
        <f aca="false">IF($A346="","",IFERROR(VLOOKUP(AH346,Schichten!$A$5:$G$24,7,FALSE()),0))</f>
        <v>7</v>
      </c>
      <c r="AK346" s="28" t="n">
        <f aca="false">IF($A346="","",IF(N(AI346)=0,"",$A346+VLOOKUP(AH346,Schichten!$A$5:$G$24,3,FALSE())))</f>
        <v>46729.9166666667</v>
      </c>
      <c r="AL346" s="28" t="n">
        <f aca="false">IF(AK346="","",$A346+VLOOKUP(AH346,Schichten!$A$5:$G$24,4,FALSE())+IF(VLOOKUP(AH346,Schichten!$A$5:$G$24,4,FALSE())&lt;=VLOOKUP(AH346,Schichten!$A$5:$G$24,3,FALSE()),1,0))</f>
        <v>46730.25</v>
      </c>
      <c r="AM346" s="28" t="n">
        <f aca="false">IF($A346="","",IF(N(AI345)&gt;0,AL345,AM345))</f>
        <v>46728.9166666667</v>
      </c>
      <c r="AN346" s="27" t="n">
        <f aca="false">IF(OR(AK346="",AM346=""),"",(AK346-AM346)*24)</f>
        <v>24</v>
      </c>
      <c r="AO346" s="21" t="n">
        <f aca="false">IF($A346="","",IF(N(AI346)&gt;0,N(AO345)+1,0))</f>
        <v>5</v>
      </c>
      <c r="AP346" s="21" t="n">
        <f aca="false">IF($A346="","",IF(N(AJ346)&gt;0,N(AP345)+1,0))</f>
        <v>1</v>
      </c>
      <c r="AQ346" s="21" t="str">
        <f aca="false">IF($A346="","",IF(WEEKDAY($A346,2)&lt;&gt;7,"",IF(AND(OR(AK346="",N(AK346)&gt;=$A346+16/24,N(AL346)&lt;=$A346+6/24),OR(AM346="",N(AM346)&lt;=$A346+6/24)),1,0)))</f>
        <v/>
      </c>
      <c r="AR346" s="26" t="str">
        <f aca="false">IF($A346="","",IF(INDEX(Muster!$C$10:$BF$10,1,MOD($A346-Einstellungen!$C$6,Einstellungen!$C$7)+1)="","-",INDEX(Muster!$C$10:$BF$10,1,MOD($A346-Einstellungen!$C$6,Einstellungen!$C$7)+1)))</f>
        <v>-</v>
      </c>
      <c r="AS346" s="27" t="n">
        <f aca="false">IF($A346="","",IFERROR(VLOOKUP(AR346,Schichten!$A$5:$G$24,6,FALSE()),0))</f>
        <v>0</v>
      </c>
      <c r="AT346" s="27" t="n">
        <f aca="false">IF($A346="","",IFERROR(VLOOKUP(AR346,Schichten!$A$5:$G$24,7,FALSE()),0))</f>
        <v>0</v>
      </c>
      <c r="AU346" s="28" t="str">
        <f aca="false">IF($A346="","",IF(N(AS346)=0,"",$A346+VLOOKUP(AR346,Schichten!$A$5:$G$24,3,FALSE())))</f>
        <v/>
      </c>
      <c r="AV346" s="28" t="str">
        <f aca="false">IF(AU346="","",$A346+VLOOKUP(AR346,Schichten!$A$5:$G$24,4,FALSE())+IF(VLOOKUP(AR346,Schichten!$A$5:$G$24,4,FALSE())&lt;=VLOOKUP(AR346,Schichten!$A$5:$G$24,3,FALSE()),1,0))</f>
        <v/>
      </c>
      <c r="AW346" s="28" t="str">
        <f aca="false">IF($A346="","",IF(N(AS345)&gt;0,AV345,AW345))</f>
        <v/>
      </c>
      <c r="AX346" s="27" t="str">
        <f aca="false">IF(OR(AU346="",AW346=""),"",(AU346-AW346)*24)</f>
        <v/>
      </c>
      <c r="AY346" s="21" t="n">
        <f aca="false">IF($A346="","",IF(N(AS346)&gt;0,N(AY345)+1,0))</f>
        <v>0</v>
      </c>
      <c r="AZ346" s="21" t="n">
        <f aca="false">IF($A346="","",IF(N(AT346)&gt;0,N(AZ345)+1,0))</f>
        <v>0</v>
      </c>
      <c r="BA346" s="21" t="str">
        <f aca="false">IF($A346="","",IF(WEEKDAY($A346,2)&lt;&gt;7,"",IF(AND(OR(AU346="",N(AU346)&gt;=$A346+16/24,N(AV346)&lt;=$A346+6/24),OR(AW346="",N(AW346)&lt;=$A346+6/24)),1,0)))</f>
        <v/>
      </c>
    </row>
    <row r="347" customFormat="false" ht="15" hidden="false" customHeight="false" outlineLevel="0" collapsed="false">
      <c r="A347" s="25" t="n">
        <f aca="false">IF(YEAR(DATE(Einstellungen!$C$4,1,1)+342)=Einstellungen!$C$4,DATE(Einstellungen!$C$4,1,1)+342,"")</f>
        <v>46730</v>
      </c>
      <c r="B347" s="26" t="str">
        <f aca="false">IF($A347="","",CHOOSE(WEEKDAY($A347,2),"Mo","Di","Mi","Do","Fr","Sa","So"))</f>
        <v>Do</v>
      </c>
      <c r="C347" s="26" t="n">
        <f aca="false">IF($A347="","",MONTH($A347))</f>
        <v>12</v>
      </c>
      <c r="D347" s="26" t="str">
        <f aca="false">IF($A347="","",IF(INDEX(Muster!$C$6:$BF$6,1,MOD($A347-Einstellungen!$C$6,Einstellungen!$C$7)+1)="","-",INDEX(Muster!$C$6:$BF$6,1,MOD($A347-Einstellungen!$C$6,Einstellungen!$C$7)+1)))</f>
        <v>S</v>
      </c>
      <c r="E347" s="27" t="n">
        <f aca="false">IF($A347="","",IFERROR(VLOOKUP(D347,Schichten!$A$5:$G$24,6,FALSE()),0))</f>
        <v>8</v>
      </c>
      <c r="F347" s="27" t="n">
        <f aca="false">IF($A347="","",IFERROR(VLOOKUP(D347,Schichten!$A$5:$G$24,7,FALSE()),0))</f>
        <v>0</v>
      </c>
      <c r="G347" s="28" t="n">
        <f aca="false">IF($A347="","",IF(N(E347)=0,"",$A347+VLOOKUP(D347,Schichten!$A$5:$G$24,3,FALSE())))</f>
        <v>46730.5833333333</v>
      </c>
      <c r="H347" s="28" t="n">
        <f aca="false">IF(G347="","",$A347+VLOOKUP(D347,Schichten!$A$5:$G$24,4,FALSE())+IF(VLOOKUP(D347,Schichten!$A$5:$G$24,4,FALSE())&lt;=VLOOKUP(D347,Schichten!$A$5:$G$24,3,FALSE()),1,0))</f>
        <v>46730.9166666667</v>
      </c>
      <c r="I347" s="28" t="n">
        <f aca="false">IF($A347="","",IF(N(E346)&gt;0,H346,I346))</f>
        <v>46729.9166666667</v>
      </c>
      <c r="J347" s="27" t="n">
        <f aca="false">IF(OR(G347="",I347=""),"",(G347-I347)*24)</f>
        <v>16</v>
      </c>
      <c r="K347" s="21" t="n">
        <f aca="false">IF($A347="","",IF(N(E347)&gt;0,N(K346)+1,0))</f>
        <v>4</v>
      </c>
      <c r="L347" s="21" t="n">
        <f aca="false">IF($A347="","",IF(N(F347)&gt;0,N(L346)+1,0))</f>
        <v>0</v>
      </c>
      <c r="M347" s="21" t="str">
        <f aca="false">IF($A347="","",IF(WEEKDAY($A347,2)&lt;&gt;7,"",IF(AND(OR(G347="",N(G347)&gt;=$A347+16/24,N(H347)&lt;=$A347+6/24),OR(I347="",N(I347)&lt;=$A347+6/24)),1,0)))</f>
        <v/>
      </c>
      <c r="N347" s="26" t="str">
        <f aca="false">IF($A347="","",IF(INDEX(Muster!$C$7:$BF$7,1,MOD($A347-Einstellungen!$C$6,Einstellungen!$C$7)+1)="","-",INDEX(Muster!$C$7:$BF$7,1,MOD($A347-Einstellungen!$C$6,Einstellungen!$C$7)+1)))</f>
        <v>F</v>
      </c>
      <c r="O347" s="27" t="n">
        <f aca="false">IF($A347="","",IFERROR(VLOOKUP(N347,Schichten!$A$5:$G$24,6,FALSE()),0))</f>
        <v>8</v>
      </c>
      <c r="P347" s="27" t="n">
        <f aca="false">IF($A347="","",IFERROR(VLOOKUP(N347,Schichten!$A$5:$G$24,7,FALSE()),0))</f>
        <v>0</v>
      </c>
      <c r="Q347" s="28" t="n">
        <f aca="false">IF($A347="","",IF(N(O347)=0,"",$A347+VLOOKUP(N347,Schichten!$A$5:$G$24,3,FALSE())))</f>
        <v>46730.25</v>
      </c>
      <c r="R347" s="28" t="n">
        <f aca="false">IF(Q347="","",$A347+VLOOKUP(N347,Schichten!$A$5:$G$24,4,FALSE())+IF(VLOOKUP(N347,Schichten!$A$5:$G$24,4,FALSE())&lt;=VLOOKUP(N347,Schichten!$A$5:$G$24,3,FALSE()),1,0))</f>
        <v>46730.5833333333</v>
      </c>
      <c r="S347" s="28" t="n">
        <f aca="false">IF($A347="","",IF(N(O346)&gt;0,R346,S346))</f>
        <v>46729.5833333333</v>
      </c>
      <c r="T347" s="27" t="n">
        <f aca="false">IF(OR(Q347="",S347=""),"",(Q347-S347)*24)</f>
        <v>16</v>
      </c>
      <c r="U347" s="21" t="n">
        <f aca="false">IF($A347="","",IF(N(O347)&gt;0,N(U346)+1,0))</f>
        <v>2</v>
      </c>
      <c r="V347" s="21" t="n">
        <f aca="false">IF($A347="","",IF(N(P347)&gt;0,N(V346)+1,0))</f>
        <v>0</v>
      </c>
      <c r="W347" s="21" t="str">
        <f aca="false">IF($A347="","",IF(WEEKDAY($A347,2)&lt;&gt;7,"",IF(AND(OR(Q347="",N(Q347)&gt;=$A347+16/24,N(R347)&lt;=$A347+6/24),OR(S347="",N(S347)&lt;=$A347+6/24)),1,0)))</f>
        <v/>
      </c>
      <c r="X347" s="26" t="str">
        <f aca="false">IF($A347="","",IF(INDEX(Muster!$C$8:$BF$8,1,MOD($A347-Einstellungen!$C$6,Einstellungen!$C$7)+1)="","-",INDEX(Muster!$C$8:$BF$8,1,MOD($A347-Einstellungen!$C$6,Einstellungen!$C$7)+1)))</f>
        <v>-</v>
      </c>
      <c r="Y347" s="27" t="n">
        <f aca="false">IF($A347="","",IFERROR(VLOOKUP(X347,Schichten!$A$5:$G$24,6,FALSE()),0))</f>
        <v>0</v>
      </c>
      <c r="Z347" s="27" t="n">
        <f aca="false">IF($A347="","",IFERROR(VLOOKUP(X347,Schichten!$A$5:$G$24,7,FALSE()),0))</f>
        <v>0</v>
      </c>
      <c r="AA347" s="28" t="str">
        <f aca="false">IF($A347="","",IF(N(Y347)=0,"",$A347+VLOOKUP(X347,Schichten!$A$5:$G$24,3,FALSE())))</f>
        <v/>
      </c>
      <c r="AB347" s="28" t="str">
        <f aca="false">IF(AA347="","",$A347+VLOOKUP(X347,Schichten!$A$5:$G$24,4,FALSE())+IF(VLOOKUP(X347,Schichten!$A$5:$G$24,4,FALSE())&lt;=VLOOKUP(X347,Schichten!$A$5:$G$24,3,FALSE()),1,0))</f>
        <v/>
      </c>
      <c r="AC347" s="28" t="n">
        <f aca="false">IF($A347="","",IF(N(Y346)&gt;0,AB346,AC346))</f>
        <v>46729.25</v>
      </c>
      <c r="AD347" s="27" t="str">
        <f aca="false">IF(OR(AA347="",AC347=""),"",(AA347-AC347)*24)</f>
        <v/>
      </c>
      <c r="AE347" s="21" t="n">
        <f aca="false">IF($A347="","",IF(N(Y347)&gt;0,N(AE346)+1,0))</f>
        <v>0</v>
      </c>
      <c r="AF347" s="21" t="n">
        <f aca="false">IF($A347="","",IF(N(Z347)&gt;0,N(AF346)+1,0))</f>
        <v>0</v>
      </c>
      <c r="AG347" s="21" t="str">
        <f aca="false">IF($A347="","",IF(WEEKDAY($A347,2)&lt;&gt;7,"",IF(AND(OR(AA347="",N(AA347)&gt;=$A347+16/24,N(AB347)&lt;=$A347+6/24),OR(AC347="",N(AC347)&lt;=$A347+6/24)),1,0)))</f>
        <v/>
      </c>
      <c r="AH347" s="26" t="str">
        <f aca="false">IF($A347="","",IF(INDEX(Muster!$C$9:$BF$9,1,MOD($A347-Einstellungen!$C$6,Einstellungen!$C$7)+1)="","-",INDEX(Muster!$C$9:$BF$9,1,MOD($A347-Einstellungen!$C$6,Einstellungen!$C$7)+1)))</f>
        <v>N</v>
      </c>
      <c r="AI347" s="27" t="n">
        <f aca="false">IF($A347="","",IFERROR(VLOOKUP(AH347,Schichten!$A$5:$G$24,6,FALSE()),0))</f>
        <v>8</v>
      </c>
      <c r="AJ347" s="27" t="n">
        <f aca="false">IF($A347="","",IFERROR(VLOOKUP(AH347,Schichten!$A$5:$G$24,7,FALSE()),0))</f>
        <v>7</v>
      </c>
      <c r="AK347" s="28" t="n">
        <f aca="false">IF($A347="","",IF(N(AI347)=0,"",$A347+VLOOKUP(AH347,Schichten!$A$5:$G$24,3,FALSE())))</f>
        <v>46730.9166666667</v>
      </c>
      <c r="AL347" s="28" t="n">
        <f aca="false">IF(AK347="","",$A347+VLOOKUP(AH347,Schichten!$A$5:$G$24,4,FALSE())+IF(VLOOKUP(AH347,Schichten!$A$5:$G$24,4,FALSE())&lt;=VLOOKUP(AH347,Schichten!$A$5:$G$24,3,FALSE()),1,0))</f>
        <v>46731.25</v>
      </c>
      <c r="AM347" s="28" t="n">
        <f aca="false">IF($A347="","",IF(N(AI346)&gt;0,AL346,AM346))</f>
        <v>46730.25</v>
      </c>
      <c r="AN347" s="27" t="n">
        <f aca="false">IF(OR(AK347="",AM347=""),"",(AK347-AM347)*24)</f>
        <v>16</v>
      </c>
      <c r="AO347" s="21" t="n">
        <f aca="false">IF($A347="","",IF(N(AI347)&gt;0,N(AO346)+1,0))</f>
        <v>6</v>
      </c>
      <c r="AP347" s="21" t="n">
        <f aca="false">IF($A347="","",IF(N(AJ347)&gt;0,N(AP346)+1,0))</f>
        <v>2</v>
      </c>
      <c r="AQ347" s="21" t="str">
        <f aca="false">IF($A347="","",IF(WEEKDAY($A347,2)&lt;&gt;7,"",IF(AND(OR(AK347="",N(AK347)&gt;=$A347+16/24,N(AL347)&lt;=$A347+6/24),OR(AM347="",N(AM347)&lt;=$A347+6/24)),1,0)))</f>
        <v/>
      </c>
      <c r="AR347" s="26" t="str">
        <f aca="false">IF($A347="","",IF(INDEX(Muster!$C$10:$BF$10,1,MOD($A347-Einstellungen!$C$6,Einstellungen!$C$7)+1)="","-",INDEX(Muster!$C$10:$BF$10,1,MOD($A347-Einstellungen!$C$6,Einstellungen!$C$7)+1)))</f>
        <v>-</v>
      </c>
      <c r="AS347" s="27" t="n">
        <f aca="false">IF($A347="","",IFERROR(VLOOKUP(AR347,Schichten!$A$5:$G$24,6,FALSE()),0))</f>
        <v>0</v>
      </c>
      <c r="AT347" s="27" t="n">
        <f aca="false">IF($A347="","",IFERROR(VLOOKUP(AR347,Schichten!$A$5:$G$24,7,FALSE()),0))</f>
        <v>0</v>
      </c>
      <c r="AU347" s="28" t="str">
        <f aca="false">IF($A347="","",IF(N(AS347)=0,"",$A347+VLOOKUP(AR347,Schichten!$A$5:$G$24,3,FALSE())))</f>
        <v/>
      </c>
      <c r="AV347" s="28" t="str">
        <f aca="false">IF(AU347="","",$A347+VLOOKUP(AR347,Schichten!$A$5:$G$24,4,FALSE())+IF(VLOOKUP(AR347,Schichten!$A$5:$G$24,4,FALSE())&lt;=VLOOKUP(AR347,Schichten!$A$5:$G$24,3,FALSE()),1,0))</f>
        <v/>
      </c>
      <c r="AW347" s="28" t="str">
        <f aca="false">IF($A347="","",IF(N(AS346)&gt;0,AV346,AW346))</f>
        <v/>
      </c>
      <c r="AX347" s="27" t="str">
        <f aca="false">IF(OR(AU347="",AW347=""),"",(AU347-AW347)*24)</f>
        <v/>
      </c>
      <c r="AY347" s="21" t="n">
        <f aca="false">IF($A347="","",IF(N(AS347)&gt;0,N(AY346)+1,0))</f>
        <v>0</v>
      </c>
      <c r="AZ347" s="21" t="n">
        <f aca="false">IF($A347="","",IF(N(AT347)&gt;0,N(AZ346)+1,0))</f>
        <v>0</v>
      </c>
      <c r="BA347" s="21" t="str">
        <f aca="false">IF($A347="","",IF(WEEKDAY($A347,2)&lt;&gt;7,"",IF(AND(OR(AU347="",N(AU347)&gt;=$A347+16/24,N(AV347)&lt;=$A347+6/24),OR(AW347="",N(AW347)&lt;=$A347+6/24)),1,0)))</f>
        <v/>
      </c>
    </row>
    <row r="348" customFormat="false" ht="15" hidden="false" customHeight="false" outlineLevel="0" collapsed="false">
      <c r="A348" s="25" t="n">
        <f aca="false">IF(YEAR(DATE(Einstellungen!$C$4,1,1)+343)=Einstellungen!$C$4,DATE(Einstellungen!$C$4,1,1)+343,"")</f>
        <v>46731</v>
      </c>
      <c r="B348" s="26" t="str">
        <f aca="false">IF($A348="","",CHOOSE(WEEKDAY($A348,2),"Mo","Di","Mi","Do","Fr","Sa","So"))</f>
        <v>Fr</v>
      </c>
      <c r="C348" s="26" t="n">
        <f aca="false">IF($A348="","",MONTH($A348))</f>
        <v>12</v>
      </c>
      <c r="D348" s="26" t="str">
        <f aca="false">IF($A348="","",IF(INDEX(Muster!$C$6:$BF$6,1,MOD($A348-Einstellungen!$C$6,Einstellungen!$C$7)+1)="","-",INDEX(Muster!$C$6:$BF$6,1,MOD($A348-Einstellungen!$C$6,Einstellungen!$C$7)+1)))</f>
        <v>N</v>
      </c>
      <c r="E348" s="27" t="n">
        <f aca="false">IF($A348="","",IFERROR(VLOOKUP(D348,Schichten!$A$5:$G$24,6,FALSE()),0))</f>
        <v>8</v>
      </c>
      <c r="F348" s="27" t="n">
        <f aca="false">IF($A348="","",IFERROR(VLOOKUP(D348,Schichten!$A$5:$G$24,7,FALSE()),0))</f>
        <v>7</v>
      </c>
      <c r="G348" s="28" t="n">
        <f aca="false">IF($A348="","",IF(N(E348)=0,"",$A348+VLOOKUP(D348,Schichten!$A$5:$G$24,3,FALSE())))</f>
        <v>46731.9166666667</v>
      </c>
      <c r="H348" s="28" t="n">
        <f aca="false">IF(G348="","",$A348+VLOOKUP(D348,Schichten!$A$5:$G$24,4,FALSE())+IF(VLOOKUP(D348,Schichten!$A$5:$G$24,4,FALSE())&lt;=VLOOKUP(D348,Schichten!$A$5:$G$24,3,FALSE()),1,0))</f>
        <v>46732.25</v>
      </c>
      <c r="I348" s="28" t="n">
        <f aca="false">IF($A348="","",IF(N(E347)&gt;0,H347,I347))</f>
        <v>46730.9166666667</v>
      </c>
      <c r="J348" s="27" t="n">
        <f aca="false">IF(OR(G348="",I348=""),"",(G348-I348)*24)</f>
        <v>24</v>
      </c>
      <c r="K348" s="21" t="n">
        <f aca="false">IF($A348="","",IF(N(E348)&gt;0,N(K347)+1,0))</f>
        <v>5</v>
      </c>
      <c r="L348" s="21" t="n">
        <f aca="false">IF($A348="","",IF(N(F348)&gt;0,N(L347)+1,0))</f>
        <v>1</v>
      </c>
      <c r="M348" s="21" t="str">
        <f aca="false">IF($A348="","",IF(WEEKDAY($A348,2)&lt;&gt;7,"",IF(AND(OR(G348="",N(G348)&gt;=$A348+16/24,N(H348)&lt;=$A348+6/24),OR(I348="",N(I348)&lt;=$A348+6/24)),1,0)))</f>
        <v/>
      </c>
      <c r="N348" s="26" t="str">
        <f aca="false">IF($A348="","",IF(INDEX(Muster!$C$7:$BF$7,1,MOD($A348-Einstellungen!$C$6,Einstellungen!$C$7)+1)="","-",INDEX(Muster!$C$7:$BF$7,1,MOD($A348-Einstellungen!$C$6,Einstellungen!$C$7)+1)))</f>
        <v>S</v>
      </c>
      <c r="O348" s="27" t="n">
        <f aca="false">IF($A348="","",IFERROR(VLOOKUP(N348,Schichten!$A$5:$G$24,6,FALSE()),0))</f>
        <v>8</v>
      </c>
      <c r="P348" s="27" t="n">
        <f aca="false">IF($A348="","",IFERROR(VLOOKUP(N348,Schichten!$A$5:$G$24,7,FALSE()),0))</f>
        <v>0</v>
      </c>
      <c r="Q348" s="28" t="n">
        <f aca="false">IF($A348="","",IF(N(O348)=0,"",$A348+VLOOKUP(N348,Schichten!$A$5:$G$24,3,FALSE())))</f>
        <v>46731.5833333333</v>
      </c>
      <c r="R348" s="28" t="n">
        <f aca="false">IF(Q348="","",$A348+VLOOKUP(N348,Schichten!$A$5:$G$24,4,FALSE())+IF(VLOOKUP(N348,Schichten!$A$5:$G$24,4,FALSE())&lt;=VLOOKUP(N348,Schichten!$A$5:$G$24,3,FALSE()),1,0))</f>
        <v>46731.9166666667</v>
      </c>
      <c r="S348" s="28" t="n">
        <f aca="false">IF($A348="","",IF(N(O347)&gt;0,R347,S347))</f>
        <v>46730.5833333333</v>
      </c>
      <c r="T348" s="27" t="n">
        <f aca="false">IF(OR(Q348="",S348=""),"",(Q348-S348)*24)</f>
        <v>24</v>
      </c>
      <c r="U348" s="21" t="n">
        <f aca="false">IF($A348="","",IF(N(O348)&gt;0,N(U347)+1,0))</f>
        <v>3</v>
      </c>
      <c r="V348" s="21" t="n">
        <f aca="false">IF($A348="","",IF(N(P348)&gt;0,N(V347)+1,0))</f>
        <v>0</v>
      </c>
      <c r="W348" s="21" t="str">
        <f aca="false">IF($A348="","",IF(WEEKDAY($A348,2)&lt;&gt;7,"",IF(AND(OR(Q348="",N(Q348)&gt;=$A348+16/24,N(R348)&lt;=$A348+6/24),OR(S348="",N(S348)&lt;=$A348+6/24)),1,0)))</f>
        <v/>
      </c>
      <c r="X348" s="26" t="str">
        <f aca="false">IF($A348="","",IF(INDEX(Muster!$C$8:$BF$8,1,MOD($A348-Einstellungen!$C$6,Einstellungen!$C$7)+1)="","-",INDEX(Muster!$C$8:$BF$8,1,MOD($A348-Einstellungen!$C$6,Einstellungen!$C$7)+1)))</f>
        <v>F</v>
      </c>
      <c r="Y348" s="27" t="n">
        <f aca="false">IF($A348="","",IFERROR(VLOOKUP(X348,Schichten!$A$5:$G$24,6,FALSE()),0))</f>
        <v>8</v>
      </c>
      <c r="Z348" s="27" t="n">
        <f aca="false">IF($A348="","",IFERROR(VLOOKUP(X348,Schichten!$A$5:$G$24,7,FALSE()),0))</f>
        <v>0</v>
      </c>
      <c r="AA348" s="28" t="n">
        <f aca="false">IF($A348="","",IF(N(Y348)=0,"",$A348+VLOOKUP(X348,Schichten!$A$5:$G$24,3,FALSE())))</f>
        <v>46731.25</v>
      </c>
      <c r="AB348" s="28" t="n">
        <f aca="false">IF(AA348="","",$A348+VLOOKUP(X348,Schichten!$A$5:$G$24,4,FALSE())+IF(VLOOKUP(X348,Schichten!$A$5:$G$24,4,FALSE())&lt;=VLOOKUP(X348,Schichten!$A$5:$G$24,3,FALSE()),1,0))</f>
        <v>46731.5833333333</v>
      </c>
      <c r="AC348" s="28" t="n">
        <f aca="false">IF($A348="","",IF(N(Y347)&gt;0,AB347,AC347))</f>
        <v>46729.25</v>
      </c>
      <c r="AD348" s="27" t="n">
        <f aca="false">IF(OR(AA348="",AC348=""),"",(AA348-AC348)*24)</f>
        <v>48</v>
      </c>
      <c r="AE348" s="21" t="n">
        <f aca="false">IF($A348="","",IF(N(Y348)&gt;0,N(AE347)+1,0))</f>
        <v>1</v>
      </c>
      <c r="AF348" s="21" t="n">
        <f aca="false">IF($A348="","",IF(N(Z348)&gt;0,N(AF347)+1,0))</f>
        <v>0</v>
      </c>
      <c r="AG348" s="21" t="str">
        <f aca="false">IF($A348="","",IF(WEEKDAY($A348,2)&lt;&gt;7,"",IF(AND(OR(AA348="",N(AA348)&gt;=$A348+16/24,N(AB348)&lt;=$A348+6/24),OR(AC348="",N(AC348)&lt;=$A348+6/24)),1,0)))</f>
        <v/>
      </c>
      <c r="AH348" s="26" t="str">
        <f aca="false">IF($A348="","",IF(INDEX(Muster!$C$9:$BF$9,1,MOD($A348-Einstellungen!$C$6,Einstellungen!$C$7)+1)="","-",INDEX(Muster!$C$9:$BF$9,1,MOD($A348-Einstellungen!$C$6,Einstellungen!$C$7)+1)))</f>
        <v>-</v>
      </c>
      <c r="AI348" s="27" t="n">
        <f aca="false">IF($A348="","",IFERROR(VLOOKUP(AH348,Schichten!$A$5:$G$24,6,FALSE()),0))</f>
        <v>0</v>
      </c>
      <c r="AJ348" s="27" t="n">
        <f aca="false">IF($A348="","",IFERROR(VLOOKUP(AH348,Schichten!$A$5:$G$24,7,FALSE()),0))</f>
        <v>0</v>
      </c>
      <c r="AK348" s="28" t="str">
        <f aca="false">IF($A348="","",IF(N(AI348)=0,"",$A348+VLOOKUP(AH348,Schichten!$A$5:$G$24,3,FALSE())))</f>
        <v/>
      </c>
      <c r="AL348" s="28" t="str">
        <f aca="false">IF(AK348="","",$A348+VLOOKUP(AH348,Schichten!$A$5:$G$24,4,FALSE())+IF(VLOOKUP(AH348,Schichten!$A$5:$G$24,4,FALSE())&lt;=VLOOKUP(AH348,Schichten!$A$5:$G$24,3,FALSE()),1,0))</f>
        <v/>
      </c>
      <c r="AM348" s="28" t="n">
        <f aca="false">IF($A348="","",IF(N(AI347)&gt;0,AL347,AM347))</f>
        <v>46731.25</v>
      </c>
      <c r="AN348" s="27" t="str">
        <f aca="false">IF(OR(AK348="",AM348=""),"",(AK348-AM348)*24)</f>
        <v/>
      </c>
      <c r="AO348" s="21" t="n">
        <f aca="false">IF($A348="","",IF(N(AI348)&gt;0,N(AO347)+1,0))</f>
        <v>0</v>
      </c>
      <c r="AP348" s="21" t="n">
        <f aca="false">IF($A348="","",IF(N(AJ348)&gt;0,N(AP347)+1,0))</f>
        <v>0</v>
      </c>
      <c r="AQ348" s="21" t="str">
        <f aca="false">IF($A348="","",IF(WEEKDAY($A348,2)&lt;&gt;7,"",IF(AND(OR(AK348="",N(AK348)&gt;=$A348+16/24,N(AL348)&lt;=$A348+6/24),OR(AM348="",N(AM348)&lt;=$A348+6/24)),1,0)))</f>
        <v/>
      </c>
      <c r="AR348" s="26" t="str">
        <f aca="false">IF($A348="","",IF(INDEX(Muster!$C$10:$BF$10,1,MOD($A348-Einstellungen!$C$6,Einstellungen!$C$7)+1)="","-",INDEX(Muster!$C$10:$BF$10,1,MOD($A348-Einstellungen!$C$6,Einstellungen!$C$7)+1)))</f>
        <v>-</v>
      </c>
      <c r="AS348" s="27" t="n">
        <f aca="false">IF($A348="","",IFERROR(VLOOKUP(AR348,Schichten!$A$5:$G$24,6,FALSE()),0))</f>
        <v>0</v>
      </c>
      <c r="AT348" s="27" t="n">
        <f aca="false">IF($A348="","",IFERROR(VLOOKUP(AR348,Schichten!$A$5:$G$24,7,FALSE()),0))</f>
        <v>0</v>
      </c>
      <c r="AU348" s="28" t="str">
        <f aca="false">IF($A348="","",IF(N(AS348)=0,"",$A348+VLOOKUP(AR348,Schichten!$A$5:$G$24,3,FALSE())))</f>
        <v/>
      </c>
      <c r="AV348" s="28" t="str">
        <f aca="false">IF(AU348="","",$A348+VLOOKUP(AR348,Schichten!$A$5:$G$24,4,FALSE())+IF(VLOOKUP(AR348,Schichten!$A$5:$G$24,4,FALSE())&lt;=VLOOKUP(AR348,Schichten!$A$5:$G$24,3,FALSE()),1,0))</f>
        <v/>
      </c>
      <c r="AW348" s="28" t="str">
        <f aca="false">IF($A348="","",IF(N(AS347)&gt;0,AV347,AW347))</f>
        <v/>
      </c>
      <c r="AX348" s="27" t="str">
        <f aca="false">IF(OR(AU348="",AW348=""),"",(AU348-AW348)*24)</f>
        <v/>
      </c>
      <c r="AY348" s="21" t="n">
        <f aca="false">IF($A348="","",IF(N(AS348)&gt;0,N(AY347)+1,0))</f>
        <v>0</v>
      </c>
      <c r="AZ348" s="21" t="n">
        <f aca="false">IF($A348="","",IF(N(AT348)&gt;0,N(AZ347)+1,0))</f>
        <v>0</v>
      </c>
      <c r="BA348" s="21" t="str">
        <f aca="false">IF($A348="","",IF(WEEKDAY($A348,2)&lt;&gt;7,"",IF(AND(OR(AU348="",N(AU348)&gt;=$A348+16/24,N(AV348)&lt;=$A348+6/24),OR(AW348="",N(AW348)&lt;=$A348+6/24)),1,0)))</f>
        <v/>
      </c>
    </row>
    <row r="349" customFormat="false" ht="15" hidden="false" customHeight="false" outlineLevel="0" collapsed="false">
      <c r="A349" s="25" t="n">
        <f aca="false">IF(YEAR(DATE(Einstellungen!$C$4,1,1)+344)=Einstellungen!$C$4,DATE(Einstellungen!$C$4,1,1)+344,"")</f>
        <v>46732</v>
      </c>
      <c r="B349" s="26" t="str">
        <f aca="false">IF($A349="","",CHOOSE(WEEKDAY($A349,2),"Mo","Di","Mi","Do","Fr","Sa","So"))</f>
        <v>Sa</v>
      </c>
      <c r="C349" s="26" t="n">
        <f aca="false">IF($A349="","",MONTH($A349))</f>
        <v>12</v>
      </c>
      <c r="D349" s="26" t="str">
        <f aca="false">IF($A349="","",IF(INDEX(Muster!$C$6:$BF$6,1,MOD($A349-Einstellungen!$C$6,Einstellungen!$C$7)+1)="","-",INDEX(Muster!$C$6:$BF$6,1,MOD($A349-Einstellungen!$C$6,Einstellungen!$C$7)+1)))</f>
        <v>N</v>
      </c>
      <c r="E349" s="27" t="n">
        <f aca="false">IF($A349="","",IFERROR(VLOOKUP(D349,Schichten!$A$5:$G$24,6,FALSE()),0))</f>
        <v>8</v>
      </c>
      <c r="F349" s="27" t="n">
        <f aca="false">IF($A349="","",IFERROR(VLOOKUP(D349,Schichten!$A$5:$G$24,7,FALSE()),0))</f>
        <v>7</v>
      </c>
      <c r="G349" s="28" t="n">
        <f aca="false">IF($A349="","",IF(N(E349)=0,"",$A349+VLOOKUP(D349,Schichten!$A$5:$G$24,3,FALSE())))</f>
        <v>46732.9166666667</v>
      </c>
      <c r="H349" s="28" t="n">
        <f aca="false">IF(G349="","",$A349+VLOOKUP(D349,Schichten!$A$5:$G$24,4,FALSE())+IF(VLOOKUP(D349,Schichten!$A$5:$G$24,4,FALSE())&lt;=VLOOKUP(D349,Schichten!$A$5:$G$24,3,FALSE()),1,0))</f>
        <v>46733.25</v>
      </c>
      <c r="I349" s="28" t="n">
        <f aca="false">IF($A349="","",IF(N(E348)&gt;0,H348,I348))</f>
        <v>46732.25</v>
      </c>
      <c r="J349" s="27" t="n">
        <f aca="false">IF(OR(G349="",I349=""),"",(G349-I349)*24)</f>
        <v>16</v>
      </c>
      <c r="K349" s="21" t="n">
        <f aca="false">IF($A349="","",IF(N(E349)&gt;0,N(K348)+1,0))</f>
        <v>6</v>
      </c>
      <c r="L349" s="21" t="n">
        <f aca="false">IF($A349="","",IF(N(F349)&gt;0,N(L348)+1,0))</f>
        <v>2</v>
      </c>
      <c r="M349" s="21" t="str">
        <f aca="false">IF($A349="","",IF(WEEKDAY($A349,2)&lt;&gt;7,"",IF(AND(OR(G349="",N(G349)&gt;=$A349+16/24,N(H349)&lt;=$A349+6/24),OR(I349="",N(I349)&lt;=$A349+6/24)),1,0)))</f>
        <v/>
      </c>
      <c r="N349" s="26" t="str">
        <f aca="false">IF($A349="","",IF(INDEX(Muster!$C$7:$BF$7,1,MOD($A349-Einstellungen!$C$6,Einstellungen!$C$7)+1)="","-",INDEX(Muster!$C$7:$BF$7,1,MOD($A349-Einstellungen!$C$6,Einstellungen!$C$7)+1)))</f>
        <v>S</v>
      </c>
      <c r="O349" s="27" t="n">
        <f aca="false">IF($A349="","",IFERROR(VLOOKUP(N349,Schichten!$A$5:$G$24,6,FALSE()),0))</f>
        <v>8</v>
      </c>
      <c r="P349" s="27" t="n">
        <f aca="false">IF($A349="","",IFERROR(VLOOKUP(N349,Schichten!$A$5:$G$24,7,FALSE()),0))</f>
        <v>0</v>
      </c>
      <c r="Q349" s="28" t="n">
        <f aca="false">IF($A349="","",IF(N(O349)=0,"",$A349+VLOOKUP(N349,Schichten!$A$5:$G$24,3,FALSE())))</f>
        <v>46732.5833333333</v>
      </c>
      <c r="R349" s="28" t="n">
        <f aca="false">IF(Q349="","",$A349+VLOOKUP(N349,Schichten!$A$5:$G$24,4,FALSE())+IF(VLOOKUP(N349,Schichten!$A$5:$G$24,4,FALSE())&lt;=VLOOKUP(N349,Schichten!$A$5:$G$24,3,FALSE()),1,0))</f>
        <v>46732.9166666667</v>
      </c>
      <c r="S349" s="28" t="n">
        <f aca="false">IF($A349="","",IF(N(O348)&gt;0,R348,S348))</f>
        <v>46731.9166666667</v>
      </c>
      <c r="T349" s="27" t="n">
        <f aca="false">IF(OR(Q349="",S349=""),"",(Q349-S349)*24)</f>
        <v>16</v>
      </c>
      <c r="U349" s="21" t="n">
        <f aca="false">IF($A349="","",IF(N(O349)&gt;0,N(U348)+1,0))</f>
        <v>4</v>
      </c>
      <c r="V349" s="21" t="n">
        <f aca="false">IF($A349="","",IF(N(P349)&gt;0,N(V348)+1,0))</f>
        <v>0</v>
      </c>
      <c r="W349" s="21" t="str">
        <f aca="false">IF($A349="","",IF(WEEKDAY($A349,2)&lt;&gt;7,"",IF(AND(OR(Q349="",N(Q349)&gt;=$A349+16/24,N(R349)&lt;=$A349+6/24),OR(S349="",N(S349)&lt;=$A349+6/24)),1,0)))</f>
        <v/>
      </c>
      <c r="X349" s="26" t="str">
        <f aca="false">IF($A349="","",IF(INDEX(Muster!$C$8:$BF$8,1,MOD($A349-Einstellungen!$C$6,Einstellungen!$C$7)+1)="","-",INDEX(Muster!$C$8:$BF$8,1,MOD($A349-Einstellungen!$C$6,Einstellungen!$C$7)+1)))</f>
        <v>F</v>
      </c>
      <c r="Y349" s="27" t="n">
        <f aca="false">IF($A349="","",IFERROR(VLOOKUP(X349,Schichten!$A$5:$G$24,6,FALSE()),0))</f>
        <v>8</v>
      </c>
      <c r="Z349" s="27" t="n">
        <f aca="false">IF($A349="","",IFERROR(VLOOKUP(X349,Schichten!$A$5:$G$24,7,FALSE()),0))</f>
        <v>0</v>
      </c>
      <c r="AA349" s="28" t="n">
        <f aca="false">IF($A349="","",IF(N(Y349)=0,"",$A349+VLOOKUP(X349,Schichten!$A$5:$G$24,3,FALSE())))</f>
        <v>46732.25</v>
      </c>
      <c r="AB349" s="28" t="n">
        <f aca="false">IF(AA349="","",$A349+VLOOKUP(X349,Schichten!$A$5:$G$24,4,FALSE())+IF(VLOOKUP(X349,Schichten!$A$5:$G$24,4,FALSE())&lt;=VLOOKUP(X349,Schichten!$A$5:$G$24,3,FALSE()),1,0))</f>
        <v>46732.5833333333</v>
      </c>
      <c r="AC349" s="28" t="n">
        <f aca="false">IF($A349="","",IF(N(Y348)&gt;0,AB348,AC348))</f>
        <v>46731.5833333333</v>
      </c>
      <c r="AD349" s="27" t="n">
        <f aca="false">IF(OR(AA349="",AC349=""),"",(AA349-AC349)*24)</f>
        <v>16</v>
      </c>
      <c r="AE349" s="21" t="n">
        <f aca="false">IF($A349="","",IF(N(Y349)&gt;0,N(AE348)+1,0))</f>
        <v>2</v>
      </c>
      <c r="AF349" s="21" t="n">
        <f aca="false">IF($A349="","",IF(N(Z349)&gt;0,N(AF348)+1,0))</f>
        <v>0</v>
      </c>
      <c r="AG349" s="21" t="str">
        <f aca="false">IF($A349="","",IF(WEEKDAY($A349,2)&lt;&gt;7,"",IF(AND(OR(AA349="",N(AA349)&gt;=$A349+16/24,N(AB349)&lt;=$A349+6/24),OR(AC349="",N(AC349)&lt;=$A349+6/24)),1,0)))</f>
        <v/>
      </c>
      <c r="AH349" s="26" t="str">
        <f aca="false">IF($A349="","",IF(INDEX(Muster!$C$9:$BF$9,1,MOD($A349-Einstellungen!$C$6,Einstellungen!$C$7)+1)="","-",INDEX(Muster!$C$9:$BF$9,1,MOD($A349-Einstellungen!$C$6,Einstellungen!$C$7)+1)))</f>
        <v>-</v>
      </c>
      <c r="AI349" s="27" t="n">
        <f aca="false">IF($A349="","",IFERROR(VLOOKUP(AH349,Schichten!$A$5:$G$24,6,FALSE()),0))</f>
        <v>0</v>
      </c>
      <c r="AJ349" s="27" t="n">
        <f aca="false">IF($A349="","",IFERROR(VLOOKUP(AH349,Schichten!$A$5:$G$24,7,FALSE()),0))</f>
        <v>0</v>
      </c>
      <c r="AK349" s="28" t="str">
        <f aca="false">IF($A349="","",IF(N(AI349)=0,"",$A349+VLOOKUP(AH349,Schichten!$A$5:$G$24,3,FALSE())))</f>
        <v/>
      </c>
      <c r="AL349" s="28" t="str">
        <f aca="false">IF(AK349="","",$A349+VLOOKUP(AH349,Schichten!$A$5:$G$24,4,FALSE())+IF(VLOOKUP(AH349,Schichten!$A$5:$G$24,4,FALSE())&lt;=VLOOKUP(AH349,Schichten!$A$5:$G$24,3,FALSE()),1,0))</f>
        <v/>
      </c>
      <c r="AM349" s="28" t="n">
        <f aca="false">IF($A349="","",IF(N(AI348)&gt;0,AL348,AM348))</f>
        <v>46731.25</v>
      </c>
      <c r="AN349" s="27" t="str">
        <f aca="false">IF(OR(AK349="",AM349=""),"",(AK349-AM349)*24)</f>
        <v/>
      </c>
      <c r="AO349" s="21" t="n">
        <f aca="false">IF($A349="","",IF(N(AI349)&gt;0,N(AO348)+1,0))</f>
        <v>0</v>
      </c>
      <c r="AP349" s="21" t="n">
        <f aca="false">IF($A349="","",IF(N(AJ349)&gt;0,N(AP348)+1,0))</f>
        <v>0</v>
      </c>
      <c r="AQ349" s="21" t="str">
        <f aca="false">IF($A349="","",IF(WEEKDAY($A349,2)&lt;&gt;7,"",IF(AND(OR(AK349="",N(AK349)&gt;=$A349+16/24,N(AL349)&lt;=$A349+6/24),OR(AM349="",N(AM349)&lt;=$A349+6/24)),1,0)))</f>
        <v/>
      </c>
      <c r="AR349" s="26" t="str">
        <f aca="false">IF($A349="","",IF(INDEX(Muster!$C$10:$BF$10,1,MOD($A349-Einstellungen!$C$6,Einstellungen!$C$7)+1)="","-",INDEX(Muster!$C$10:$BF$10,1,MOD($A349-Einstellungen!$C$6,Einstellungen!$C$7)+1)))</f>
        <v>-</v>
      </c>
      <c r="AS349" s="27" t="n">
        <f aca="false">IF($A349="","",IFERROR(VLOOKUP(AR349,Schichten!$A$5:$G$24,6,FALSE()),0))</f>
        <v>0</v>
      </c>
      <c r="AT349" s="27" t="n">
        <f aca="false">IF($A349="","",IFERROR(VLOOKUP(AR349,Schichten!$A$5:$G$24,7,FALSE()),0))</f>
        <v>0</v>
      </c>
      <c r="AU349" s="28" t="str">
        <f aca="false">IF($A349="","",IF(N(AS349)=0,"",$A349+VLOOKUP(AR349,Schichten!$A$5:$G$24,3,FALSE())))</f>
        <v/>
      </c>
      <c r="AV349" s="28" t="str">
        <f aca="false">IF(AU349="","",$A349+VLOOKUP(AR349,Schichten!$A$5:$G$24,4,FALSE())+IF(VLOOKUP(AR349,Schichten!$A$5:$G$24,4,FALSE())&lt;=VLOOKUP(AR349,Schichten!$A$5:$G$24,3,FALSE()),1,0))</f>
        <v/>
      </c>
      <c r="AW349" s="28" t="str">
        <f aca="false">IF($A349="","",IF(N(AS348)&gt;0,AV348,AW348))</f>
        <v/>
      </c>
      <c r="AX349" s="27" t="str">
        <f aca="false">IF(OR(AU349="",AW349=""),"",(AU349-AW349)*24)</f>
        <v/>
      </c>
      <c r="AY349" s="21" t="n">
        <f aca="false">IF($A349="","",IF(N(AS349)&gt;0,N(AY348)+1,0))</f>
        <v>0</v>
      </c>
      <c r="AZ349" s="21" t="n">
        <f aca="false">IF($A349="","",IF(N(AT349)&gt;0,N(AZ348)+1,0))</f>
        <v>0</v>
      </c>
      <c r="BA349" s="21" t="str">
        <f aca="false">IF($A349="","",IF(WEEKDAY($A349,2)&lt;&gt;7,"",IF(AND(OR(AU349="",N(AU349)&gt;=$A349+16/24,N(AV349)&lt;=$A349+6/24),OR(AW349="",N(AW349)&lt;=$A349+6/24)),1,0)))</f>
        <v/>
      </c>
    </row>
    <row r="350" customFormat="false" ht="15" hidden="false" customHeight="false" outlineLevel="0" collapsed="false">
      <c r="A350" s="25" t="n">
        <f aca="false">IF(YEAR(DATE(Einstellungen!$C$4,1,1)+345)=Einstellungen!$C$4,DATE(Einstellungen!$C$4,1,1)+345,"")</f>
        <v>46733</v>
      </c>
      <c r="B350" s="26" t="str">
        <f aca="false">IF($A350="","",CHOOSE(WEEKDAY($A350,2),"Mo","Di","Mi","Do","Fr","Sa","So"))</f>
        <v>So</v>
      </c>
      <c r="C350" s="26" t="n">
        <f aca="false">IF($A350="","",MONTH($A350))</f>
        <v>12</v>
      </c>
      <c r="D350" s="26" t="str">
        <f aca="false">IF($A350="","",IF(INDEX(Muster!$C$6:$BF$6,1,MOD($A350-Einstellungen!$C$6,Einstellungen!$C$7)+1)="","-",INDEX(Muster!$C$6:$BF$6,1,MOD($A350-Einstellungen!$C$6,Einstellungen!$C$7)+1)))</f>
        <v>-</v>
      </c>
      <c r="E350" s="27" t="n">
        <f aca="false">IF($A350="","",IFERROR(VLOOKUP(D350,Schichten!$A$5:$G$24,6,FALSE()),0))</f>
        <v>0</v>
      </c>
      <c r="F350" s="27" t="n">
        <f aca="false">IF($A350="","",IFERROR(VLOOKUP(D350,Schichten!$A$5:$G$24,7,FALSE()),0))</f>
        <v>0</v>
      </c>
      <c r="G350" s="28" t="str">
        <f aca="false">IF($A350="","",IF(N(E350)=0,"",$A350+VLOOKUP(D350,Schichten!$A$5:$G$24,3,FALSE())))</f>
        <v/>
      </c>
      <c r="H350" s="28" t="str">
        <f aca="false">IF(G350="","",$A350+VLOOKUP(D350,Schichten!$A$5:$G$24,4,FALSE())+IF(VLOOKUP(D350,Schichten!$A$5:$G$24,4,FALSE())&lt;=VLOOKUP(D350,Schichten!$A$5:$G$24,3,FALSE()),1,0))</f>
        <v/>
      </c>
      <c r="I350" s="28" t="n">
        <f aca="false">IF($A350="","",IF(N(E349)&gt;0,H349,I349))</f>
        <v>46733.25</v>
      </c>
      <c r="J350" s="27" t="str">
        <f aca="false">IF(OR(G350="",I350=""),"",(G350-I350)*24)</f>
        <v/>
      </c>
      <c r="K350" s="21" t="n">
        <f aca="false">IF($A350="","",IF(N(E350)&gt;0,N(K349)+1,0))</f>
        <v>0</v>
      </c>
      <c r="L350" s="21" t="n">
        <f aca="false">IF($A350="","",IF(N(F350)&gt;0,N(L349)+1,0))</f>
        <v>0</v>
      </c>
      <c r="M350" s="21" t="n">
        <f aca="false">IF($A350="","",IF(WEEKDAY($A350,2)&lt;&gt;7,"",IF(AND(OR(G350="",N(G350)&gt;=$A350+16/24,N(H350)&lt;=$A350+6/24),OR(I350="",N(I350)&lt;=$A350+6/24)),1,0)))</f>
        <v>1</v>
      </c>
      <c r="N350" s="26" t="str">
        <f aca="false">IF($A350="","",IF(INDEX(Muster!$C$7:$BF$7,1,MOD($A350-Einstellungen!$C$6,Einstellungen!$C$7)+1)="","-",INDEX(Muster!$C$7:$BF$7,1,MOD($A350-Einstellungen!$C$6,Einstellungen!$C$7)+1)))</f>
        <v>N</v>
      </c>
      <c r="O350" s="27" t="n">
        <f aca="false">IF($A350="","",IFERROR(VLOOKUP(N350,Schichten!$A$5:$G$24,6,FALSE()),0))</f>
        <v>8</v>
      </c>
      <c r="P350" s="27" t="n">
        <f aca="false">IF($A350="","",IFERROR(VLOOKUP(N350,Schichten!$A$5:$G$24,7,FALSE()),0))</f>
        <v>7</v>
      </c>
      <c r="Q350" s="28" t="n">
        <f aca="false">IF($A350="","",IF(N(O350)=0,"",$A350+VLOOKUP(N350,Schichten!$A$5:$G$24,3,FALSE())))</f>
        <v>46733.9166666667</v>
      </c>
      <c r="R350" s="28" t="n">
        <f aca="false">IF(Q350="","",$A350+VLOOKUP(N350,Schichten!$A$5:$G$24,4,FALSE())+IF(VLOOKUP(N350,Schichten!$A$5:$G$24,4,FALSE())&lt;=VLOOKUP(N350,Schichten!$A$5:$G$24,3,FALSE()),1,0))</f>
        <v>46734.25</v>
      </c>
      <c r="S350" s="28" t="n">
        <f aca="false">IF($A350="","",IF(N(O349)&gt;0,R349,S349))</f>
        <v>46732.9166666667</v>
      </c>
      <c r="T350" s="27" t="n">
        <f aca="false">IF(OR(Q350="",S350=""),"",(Q350-S350)*24)</f>
        <v>24</v>
      </c>
      <c r="U350" s="21" t="n">
        <f aca="false">IF($A350="","",IF(N(O350)&gt;0,N(U349)+1,0))</f>
        <v>5</v>
      </c>
      <c r="V350" s="21" t="n">
        <f aca="false">IF($A350="","",IF(N(P350)&gt;0,N(V349)+1,0))</f>
        <v>1</v>
      </c>
      <c r="W350" s="21" t="n">
        <f aca="false">IF($A350="","",IF(WEEKDAY($A350,2)&lt;&gt;7,"",IF(AND(OR(Q350="",N(Q350)&gt;=$A350+16/24,N(R350)&lt;=$A350+6/24),OR(S350="",N(S350)&lt;=$A350+6/24)),1,0)))</f>
        <v>1</v>
      </c>
      <c r="X350" s="26" t="str">
        <f aca="false">IF($A350="","",IF(INDEX(Muster!$C$8:$BF$8,1,MOD($A350-Einstellungen!$C$6,Einstellungen!$C$7)+1)="","-",INDEX(Muster!$C$8:$BF$8,1,MOD($A350-Einstellungen!$C$6,Einstellungen!$C$7)+1)))</f>
        <v>S</v>
      </c>
      <c r="Y350" s="27" t="n">
        <f aca="false">IF($A350="","",IFERROR(VLOOKUP(X350,Schichten!$A$5:$G$24,6,FALSE()),0))</f>
        <v>8</v>
      </c>
      <c r="Z350" s="27" t="n">
        <f aca="false">IF($A350="","",IFERROR(VLOOKUP(X350,Schichten!$A$5:$G$24,7,FALSE()),0))</f>
        <v>0</v>
      </c>
      <c r="AA350" s="28" t="n">
        <f aca="false">IF($A350="","",IF(N(Y350)=0,"",$A350+VLOOKUP(X350,Schichten!$A$5:$G$24,3,FALSE())))</f>
        <v>46733.5833333333</v>
      </c>
      <c r="AB350" s="28" t="n">
        <f aca="false">IF(AA350="","",$A350+VLOOKUP(X350,Schichten!$A$5:$G$24,4,FALSE())+IF(VLOOKUP(X350,Schichten!$A$5:$G$24,4,FALSE())&lt;=VLOOKUP(X350,Schichten!$A$5:$G$24,3,FALSE()),1,0))</f>
        <v>46733.9166666667</v>
      </c>
      <c r="AC350" s="28" t="n">
        <f aca="false">IF($A350="","",IF(N(Y349)&gt;0,AB349,AC349))</f>
        <v>46732.5833333333</v>
      </c>
      <c r="AD350" s="27" t="n">
        <f aca="false">IF(OR(AA350="",AC350=""),"",(AA350-AC350)*24)</f>
        <v>24</v>
      </c>
      <c r="AE350" s="21" t="n">
        <f aca="false">IF($A350="","",IF(N(Y350)&gt;0,N(AE349)+1,0))</f>
        <v>3</v>
      </c>
      <c r="AF350" s="21" t="n">
        <f aca="false">IF($A350="","",IF(N(Z350)&gt;0,N(AF349)+1,0))</f>
        <v>0</v>
      </c>
      <c r="AG350" s="21" t="n">
        <f aca="false">IF($A350="","",IF(WEEKDAY($A350,2)&lt;&gt;7,"",IF(AND(OR(AA350="",N(AA350)&gt;=$A350+16/24,N(AB350)&lt;=$A350+6/24),OR(AC350="",N(AC350)&lt;=$A350+6/24)),1,0)))</f>
        <v>0</v>
      </c>
      <c r="AH350" s="26" t="str">
        <f aca="false">IF($A350="","",IF(INDEX(Muster!$C$9:$BF$9,1,MOD($A350-Einstellungen!$C$6,Einstellungen!$C$7)+1)="","-",INDEX(Muster!$C$9:$BF$9,1,MOD($A350-Einstellungen!$C$6,Einstellungen!$C$7)+1)))</f>
        <v>F</v>
      </c>
      <c r="AI350" s="27" t="n">
        <f aca="false">IF($A350="","",IFERROR(VLOOKUP(AH350,Schichten!$A$5:$G$24,6,FALSE()),0))</f>
        <v>8</v>
      </c>
      <c r="AJ350" s="27" t="n">
        <f aca="false">IF($A350="","",IFERROR(VLOOKUP(AH350,Schichten!$A$5:$G$24,7,FALSE()),0))</f>
        <v>0</v>
      </c>
      <c r="AK350" s="28" t="n">
        <f aca="false">IF($A350="","",IF(N(AI350)=0,"",$A350+VLOOKUP(AH350,Schichten!$A$5:$G$24,3,FALSE())))</f>
        <v>46733.25</v>
      </c>
      <c r="AL350" s="28" t="n">
        <f aca="false">IF(AK350="","",$A350+VLOOKUP(AH350,Schichten!$A$5:$G$24,4,FALSE())+IF(VLOOKUP(AH350,Schichten!$A$5:$G$24,4,FALSE())&lt;=VLOOKUP(AH350,Schichten!$A$5:$G$24,3,FALSE()),1,0))</f>
        <v>46733.5833333333</v>
      </c>
      <c r="AM350" s="28" t="n">
        <f aca="false">IF($A350="","",IF(N(AI349)&gt;0,AL349,AM349))</f>
        <v>46731.25</v>
      </c>
      <c r="AN350" s="27" t="n">
        <f aca="false">IF(OR(AK350="",AM350=""),"",(AK350-AM350)*24)</f>
        <v>48</v>
      </c>
      <c r="AO350" s="21" t="n">
        <f aca="false">IF($A350="","",IF(N(AI350)&gt;0,N(AO349)+1,0))</f>
        <v>1</v>
      </c>
      <c r="AP350" s="21" t="n">
        <f aca="false">IF($A350="","",IF(N(AJ350)&gt;0,N(AP349)+1,0))</f>
        <v>0</v>
      </c>
      <c r="AQ350" s="21" t="n">
        <f aca="false">IF($A350="","",IF(WEEKDAY($A350,2)&lt;&gt;7,"",IF(AND(OR(AK350="",N(AK350)&gt;=$A350+16/24,N(AL350)&lt;=$A350+6/24),OR(AM350="",N(AM350)&lt;=$A350+6/24)),1,0)))</f>
        <v>0</v>
      </c>
      <c r="AR350" s="26" t="str">
        <f aca="false">IF($A350="","",IF(INDEX(Muster!$C$10:$BF$10,1,MOD($A350-Einstellungen!$C$6,Einstellungen!$C$7)+1)="","-",INDEX(Muster!$C$10:$BF$10,1,MOD($A350-Einstellungen!$C$6,Einstellungen!$C$7)+1)))</f>
        <v>-</v>
      </c>
      <c r="AS350" s="27" t="n">
        <f aca="false">IF($A350="","",IFERROR(VLOOKUP(AR350,Schichten!$A$5:$G$24,6,FALSE()),0))</f>
        <v>0</v>
      </c>
      <c r="AT350" s="27" t="n">
        <f aca="false">IF($A350="","",IFERROR(VLOOKUP(AR350,Schichten!$A$5:$G$24,7,FALSE()),0))</f>
        <v>0</v>
      </c>
      <c r="AU350" s="28" t="str">
        <f aca="false">IF($A350="","",IF(N(AS350)=0,"",$A350+VLOOKUP(AR350,Schichten!$A$5:$G$24,3,FALSE())))</f>
        <v/>
      </c>
      <c r="AV350" s="28" t="str">
        <f aca="false">IF(AU350="","",$A350+VLOOKUP(AR350,Schichten!$A$5:$G$24,4,FALSE())+IF(VLOOKUP(AR350,Schichten!$A$5:$G$24,4,FALSE())&lt;=VLOOKUP(AR350,Schichten!$A$5:$G$24,3,FALSE()),1,0))</f>
        <v/>
      </c>
      <c r="AW350" s="28" t="str">
        <f aca="false">IF($A350="","",IF(N(AS349)&gt;0,AV349,AW349))</f>
        <v/>
      </c>
      <c r="AX350" s="27" t="str">
        <f aca="false">IF(OR(AU350="",AW350=""),"",(AU350-AW350)*24)</f>
        <v/>
      </c>
      <c r="AY350" s="21" t="n">
        <f aca="false">IF($A350="","",IF(N(AS350)&gt;0,N(AY349)+1,0))</f>
        <v>0</v>
      </c>
      <c r="AZ350" s="21" t="n">
        <f aca="false">IF($A350="","",IF(N(AT350)&gt;0,N(AZ349)+1,0))</f>
        <v>0</v>
      </c>
      <c r="BA350" s="21" t="n">
        <f aca="false">IF($A350="","",IF(WEEKDAY($A350,2)&lt;&gt;7,"",IF(AND(OR(AU350="",N(AU350)&gt;=$A350+16/24,N(AV350)&lt;=$A350+6/24),OR(AW350="",N(AW350)&lt;=$A350+6/24)),1,0)))</f>
        <v>1</v>
      </c>
    </row>
    <row r="351" customFormat="false" ht="15" hidden="false" customHeight="false" outlineLevel="0" collapsed="false">
      <c r="A351" s="25" t="n">
        <f aca="false">IF(YEAR(DATE(Einstellungen!$C$4,1,1)+346)=Einstellungen!$C$4,DATE(Einstellungen!$C$4,1,1)+346,"")</f>
        <v>46734</v>
      </c>
      <c r="B351" s="26" t="str">
        <f aca="false">IF($A351="","",CHOOSE(WEEKDAY($A351,2),"Mo","Di","Mi","Do","Fr","Sa","So"))</f>
        <v>Mo</v>
      </c>
      <c r="C351" s="26" t="n">
        <f aca="false">IF($A351="","",MONTH($A351))</f>
        <v>12</v>
      </c>
      <c r="D351" s="26" t="str">
        <f aca="false">IF($A351="","",IF(INDEX(Muster!$C$6:$BF$6,1,MOD($A351-Einstellungen!$C$6,Einstellungen!$C$7)+1)="","-",INDEX(Muster!$C$6:$BF$6,1,MOD($A351-Einstellungen!$C$6,Einstellungen!$C$7)+1)))</f>
        <v>-</v>
      </c>
      <c r="E351" s="27" t="n">
        <f aca="false">IF($A351="","",IFERROR(VLOOKUP(D351,Schichten!$A$5:$G$24,6,FALSE()),0))</f>
        <v>0</v>
      </c>
      <c r="F351" s="27" t="n">
        <f aca="false">IF($A351="","",IFERROR(VLOOKUP(D351,Schichten!$A$5:$G$24,7,FALSE()),0))</f>
        <v>0</v>
      </c>
      <c r="G351" s="28" t="str">
        <f aca="false">IF($A351="","",IF(N(E351)=0,"",$A351+VLOOKUP(D351,Schichten!$A$5:$G$24,3,FALSE())))</f>
        <v/>
      </c>
      <c r="H351" s="28" t="str">
        <f aca="false">IF(G351="","",$A351+VLOOKUP(D351,Schichten!$A$5:$G$24,4,FALSE())+IF(VLOOKUP(D351,Schichten!$A$5:$G$24,4,FALSE())&lt;=VLOOKUP(D351,Schichten!$A$5:$G$24,3,FALSE()),1,0))</f>
        <v/>
      </c>
      <c r="I351" s="28" t="n">
        <f aca="false">IF($A351="","",IF(N(E350)&gt;0,H350,I350))</f>
        <v>46733.25</v>
      </c>
      <c r="J351" s="27" t="str">
        <f aca="false">IF(OR(G351="",I351=""),"",(G351-I351)*24)</f>
        <v/>
      </c>
      <c r="K351" s="21" t="n">
        <f aca="false">IF($A351="","",IF(N(E351)&gt;0,N(K350)+1,0))</f>
        <v>0</v>
      </c>
      <c r="L351" s="21" t="n">
        <f aca="false">IF($A351="","",IF(N(F351)&gt;0,N(L350)+1,0))</f>
        <v>0</v>
      </c>
      <c r="M351" s="21" t="str">
        <f aca="false">IF($A351="","",IF(WEEKDAY($A351,2)&lt;&gt;7,"",IF(AND(OR(G351="",N(G351)&gt;=$A351+16/24,N(H351)&lt;=$A351+6/24),OR(I351="",N(I351)&lt;=$A351+6/24)),1,0)))</f>
        <v/>
      </c>
      <c r="N351" s="26" t="str">
        <f aca="false">IF($A351="","",IF(INDEX(Muster!$C$7:$BF$7,1,MOD($A351-Einstellungen!$C$6,Einstellungen!$C$7)+1)="","-",INDEX(Muster!$C$7:$BF$7,1,MOD($A351-Einstellungen!$C$6,Einstellungen!$C$7)+1)))</f>
        <v>N</v>
      </c>
      <c r="O351" s="27" t="n">
        <f aca="false">IF($A351="","",IFERROR(VLOOKUP(N351,Schichten!$A$5:$G$24,6,FALSE()),0))</f>
        <v>8</v>
      </c>
      <c r="P351" s="27" t="n">
        <f aca="false">IF($A351="","",IFERROR(VLOOKUP(N351,Schichten!$A$5:$G$24,7,FALSE()),0))</f>
        <v>7</v>
      </c>
      <c r="Q351" s="28" t="n">
        <f aca="false">IF($A351="","",IF(N(O351)=0,"",$A351+VLOOKUP(N351,Schichten!$A$5:$G$24,3,FALSE())))</f>
        <v>46734.9166666667</v>
      </c>
      <c r="R351" s="28" t="n">
        <f aca="false">IF(Q351="","",$A351+VLOOKUP(N351,Schichten!$A$5:$G$24,4,FALSE())+IF(VLOOKUP(N351,Schichten!$A$5:$G$24,4,FALSE())&lt;=VLOOKUP(N351,Schichten!$A$5:$G$24,3,FALSE()),1,0))</f>
        <v>46735.25</v>
      </c>
      <c r="S351" s="28" t="n">
        <f aca="false">IF($A351="","",IF(N(O350)&gt;0,R350,S350))</f>
        <v>46734.25</v>
      </c>
      <c r="T351" s="27" t="n">
        <f aca="false">IF(OR(Q351="",S351=""),"",(Q351-S351)*24)</f>
        <v>16</v>
      </c>
      <c r="U351" s="21" t="n">
        <f aca="false">IF($A351="","",IF(N(O351)&gt;0,N(U350)+1,0))</f>
        <v>6</v>
      </c>
      <c r="V351" s="21" t="n">
        <f aca="false">IF($A351="","",IF(N(P351)&gt;0,N(V350)+1,0))</f>
        <v>2</v>
      </c>
      <c r="W351" s="21" t="str">
        <f aca="false">IF($A351="","",IF(WEEKDAY($A351,2)&lt;&gt;7,"",IF(AND(OR(Q351="",N(Q351)&gt;=$A351+16/24,N(R351)&lt;=$A351+6/24),OR(S351="",N(S351)&lt;=$A351+6/24)),1,0)))</f>
        <v/>
      </c>
      <c r="X351" s="26" t="str">
        <f aca="false">IF($A351="","",IF(INDEX(Muster!$C$8:$BF$8,1,MOD($A351-Einstellungen!$C$6,Einstellungen!$C$7)+1)="","-",INDEX(Muster!$C$8:$BF$8,1,MOD($A351-Einstellungen!$C$6,Einstellungen!$C$7)+1)))</f>
        <v>S</v>
      </c>
      <c r="Y351" s="27" t="n">
        <f aca="false">IF($A351="","",IFERROR(VLOOKUP(X351,Schichten!$A$5:$G$24,6,FALSE()),0))</f>
        <v>8</v>
      </c>
      <c r="Z351" s="27" t="n">
        <f aca="false">IF($A351="","",IFERROR(VLOOKUP(X351,Schichten!$A$5:$G$24,7,FALSE()),0))</f>
        <v>0</v>
      </c>
      <c r="AA351" s="28" t="n">
        <f aca="false">IF($A351="","",IF(N(Y351)=0,"",$A351+VLOOKUP(X351,Schichten!$A$5:$G$24,3,FALSE())))</f>
        <v>46734.5833333333</v>
      </c>
      <c r="AB351" s="28" t="n">
        <f aca="false">IF(AA351="","",$A351+VLOOKUP(X351,Schichten!$A$5:$G$24,4,FALSE())+IF(VLOOKUP(X351,Schichten!$A$5:$G$24,4,FALSE())&lt;=VLOOKUP(X351,Schichten!$A$5:$G$24,3,FALSE()),1,0))</f>
        <v>46734.9166666667</v>
      </c>
      <c r="AC351" s="28" t="n">
        <f aca="false">IF($A351="","",IF(N(Y350)&gt;0,AB350,AC350))</f>
        <v>46733.9166666667</v>
      </c>
      <c r="AD351" s="27" t="n">
        <f aca="false">IF(OR(AA351="",AC351=""),"",(AA351-AC351)*24)</f>
        <v>16</v>
      </c>
      <c r="AE351" s="21" t="n">
        <f aca="false">IF($A351="","",IF(N(Y351)&gt;0,N(AE350)+1,0))</f>
        <v>4</v>
      </c>
      <c r="AF351" s="21" t="n">
        <f aca="false">IF($A351="","",IF(N(Z351)&gt;0,N(AF350)+1,0))</f>
        <v>0</v>
      </c>
      <c r="AG351" s="21" t="str">
        <f aca="false">IF($A351="","",IF(WEEKDAY($A351,2)&lt;&gt;7,"",IF(AND(OR(AA351="",N(AA351)&gt;=$A351+16/24,N(AB351)&lt;=$A351+6/24),OR(AC351="",N(AC351)&lt;=$A351+6/24)),1,0)))</f>
        <v/>
      </c>
      <c r="AH351" s="26" t="str">
        <f aca="false">IF($A351="","",IF(INDEX(Muster!$C$9:$BF$9,1,MOD($A351-Einstellungen!$C$6,Einstellungen!$C$7)+1)="","-",INDEX(Muster!$C$9:$BF$9,1,MOD($A351-Einstellungen!$C$6,Einstellungen!$C$7)+1)))</f>
        <v>F</v>
      </c>
      <c r="AI351" s="27" t="n">
        <f aca="false">IF($A351="","",IFERROR(VLOOKUP(AH351,Schichten!$A$5:$G$24,6,FALSE()),0))</f>
        <v>8</v>
      </c>
      <c r="AJ351" s="27" t="n">
        <f aca="false">IF($A351="","",IFERROR(VLOOKUP(AH351,Schichten!$A$5:$G$24,7,FALSE()),0))</f>
        <v>0</v>
      </c>
      <c r="AK351" s="28" t="n">
        <f aca="false">IF($A351="","",IF(N(AI351)=0,"",$A351+VLOOKUP(AH351,Schichten!$A$5:$G$24,3,FALSE())))</f>
        <v>46734.25</v>
      </c>
      <c r="AL351" s="28" t="n">
        <f aca="false">IF(AK351="","",$A351+VLOOKUP(AH351,Schichten!$A$5:$G$24,4,FALSE())+IF(VLOOKUP(AH351,Schichten!$A$5:$G$24,4,FALSE())&lt;=VLOOKUP(AH351,Schichten!$A$5:$G$24,3,FALSE()),1,0))</f>
        <v>46734.5833333333</v>
      </c>
      <c r="AM351" s="28" t="n">
        <f aca="false">IF($A351="","",IF(N(AI350)&gt;0,AL350,AM350))</f>
        <v>46733.5833333333</v>
      </c>
      <c r="AN351" s="27" t="n">
        <f aca="false">IF(OR(AK351="",AM351=""),"",(AK351-AM351)*24)</f>
        <v>16</v>
      </c>
      <c r="AO351" s="21" t="n">
        <f aca="false">IF($A351="","",IF(N(AI351)&gt;0,N(AO350)+1,0))</f>
        <v>2</v>
      </c>
      <c r="AP351" s="21" t="n">
        <f aca="false">IF($A351="","",IF(N(AJ351)&gt;0,N(AP350)+1,0))</f>
        <v>0</v>
      </c>
      <c r="AQ351" s="21" t="str">
        <f aca="false">IF($A351="","",IF(WEEKDAY($A351,2)&lt;&gt;7,"",IF(AND(OR(AK351="",N(AK351)&gt;=$A351+16/24,N(AL351)&lt;=$A351+6/24),OR(AM351="",N(AM351)&lt;=$A351+6/24)),1,0)))</f>
        <v/>
      </c>
      <c r="AR351" s="26" t="str">
        <f aca="false">IF($A351="","",IF(INDEX(Muster!$C$10:$BF$10,1,MOD($A351-Einstellungen!$C$6,Einstellungen!$C$7)+1)="","-",INDEX(Muster!$C$10:$BF$10,1,MOD($A351-Einstellungen!$C$6,Einstellungen!$C$7)+1)))</f>
        <v>-</v>
      </c>
      <c r="AS351" s="27" t="n">
        <f aca="false">IF($A351="","",IFERROR(VLOOKUP(AR351,Schichten!$A$5:$G$24,6,FALSE()),0))</f>
        <v>0</v>
      </c>
      <c r="AT351" s="27" t="n">
        <f aca="false">IF($A351="","",IFERROR(VLOOKUP(AR351,Schichten!$A$5:$G$24,7,FALSE()),0))</f>
        <v>0</v>
      </c>
      <c r="AU351" s="28" t="str">
        <f aca="false">IF($A351="","",IF(N(AS351)=0,"",$A351+VLOOKUP(AR351,Schichten!$A$5:$G$24,3,FALSE())))</f>
        <v/>
      </c>
      <c r="AV351" s="28" t="str">
        <f aca="false">IF(AU351="","",$A351+VLOOKUP(AR351,Schichten!$A$5:$G$24,4,FALSE())+IF(VLOOKUP(AR351,Schichten!$A$5:$G$24,4,FALSE())&lt;=VLOOKUP(AR351,Schichten!$A$5:$G$24,3,FALSE()),1,0))</f>
        <v/>
      </c>
      <c r="AW351" s="28" t="str">
        <f aca="false">IF($A351="","",IF(N(AS350)&gt;0,AV350,AW350))</f>
        <v/>
      </c>
      <c r="AX351" s="27" t="str">
        <f aca="false">IF(OR(AU351="",AW351=""),"",(AU351-AW351)*24)</f>
        <v/>
      </c>
      <c r="AY351" s="21" t="n">
        <f aca="false">IF($A351="","",IF(N(AS351)&gt;0,N(AY350)+1,0))</f>
        <v>0</v>
      </c>
      <c r="AZ351" s="21" t="n">
        <f aca="false">IF($A351="","",IF(N(AT351)&gt;0,N(AZ350)+1,0))</f>
        <v>0</v>
      </c>
      <c r="BA351" s="21" t="str">
        <f aca="false">IF($A351="","",IF(WEEKDAY($A351,2)&lt;&gt;7,"",IF(AND(OR(AU351="",N(AU351)&gt;=$A351+16/24,N(AV351)&lt;=$A351+6/24),OR(AW351="",N(AW351)&lt;=$A351+6/24)),1,0)))</f>
        <v/>
      </c>
    </row>
    <row r="352" customFormat="false" ht="15" hidden="false" customHeight="false" outlineLevel="0" collapsed="false">
      <c r="A352" s="25" t="n">
        <f aca="false">IF(YEAR(DATE(Einstellungen!$C$4,1,1)+347)=Einstellungen!$C$4,DATE(Einstellungen!$C$4,1,1)+347,"")</f>
        <v>46735</v>
      </c>
      <c r="B352" s="26" t="str">
        <f aca="false">IF($A352="","",CHOOSE(WEEKDAY($A352,2),"Mo","Di","Mi","Do","Fr","Sa","So"))</f>
        <v>Di</v>
      </c>
      <c r="C352" s="26" t="n">
        <f aca="false">IF($A352="","",MONTH($A352))</f>
        <v>12</v>
      </c>
      <c r="D352" s="26" t="str">
        <f aca="false">IF($A352="","",IF(INDEX(Muster!$C$6:$BF$6,1,MOD($A352-Einstellungen!$C$6,Einstellungen!$C$7)+1)="","-",INDEX(Muster!$C$6:$BF$6,1,MOD($A352-Einstellungen!$C$6,Einstellungen!$C$7)+1)))</f>
        <v>F</v>
      </c>
      <c r="E352" s="27" t="n">
        <f aca="false">IF($A352="","",IFERROR(VLOOKUP(D352,Schichten!$A$5:$G$24,6,FALSE()),0))</f>
        <v>8</v>
      </c>
      <c r="F352" s="27" t="n">
        <f aca="false">IF($A352="","",IFERROR(VLOOKUP(D352,Schichten!$A$5:$G$24,7,FALSE()),0))</f>
        <v>0</v>
      </c>
      <c r="G352" s="28" t="n">
        <f aca="false">IF($A352="","",IF(N(E352)=0,"",$A352+VLOOKUP(D352,Schichten!$A$5:$G$24,3,FALSE())))</f>
        <v>46735.25</v>
      </c>
      <c r="H352" s="28" t="n">
        <f aca="false">IF(G352="","",$A352+VLOOKUP(D352,Schichten!$A$5:$G$24,4,FALSE())+IF(VLOOKUP(D352,Schichten!$A$5:$G$24,4,FALSE())&lt;=VLOOKUP(D352,Schichten!$A$5:$G$24,3,FALSE()),1,0))</f>
        <v>46735.5833333333</v>
      </c>
      <c r="I352" s="28" t="n">
        <f aca="false">IF($A352="","",IF(N(E351)&gt;0,H351,I351))</f>
        <v>46733.25</v>
      </c>
      <c r="J352" s="27" t="n">
        <f aca="false">IF(OR(G352="",I352=""),"",(G352-I352)*24)</f>
        <v>48</v>
      </c>
      <c r="K352" s="21" t="n">
        <f aca="false">IF($A352="","",IF(N(E352)&gt;0,N(K351)+1,0))</f>
        <v>1</v>
      </c>
      <c r="L352" s="21" t="n">
        <f aca="false">IF($A352="","",IF(N(F352)&gt;0,N(L351)+1,0))</f>
        <v>0</v>
      </c>
      <c r="M352" s="21" t="str">
        <f aca="false">IF($A352="","",IF(WEEKDAY($A352,2)&lt;&gt;7,"",IF(AND(OR(G352="",N(G352)&gt;=$A352+16/24,N(H352)&lt;=$A352+6/24),OR(I352="",N(I352)&lt;=$A352+6/24)),1,0)))</f>
        <v/>
      </c>
      <c r="N352" s="26" t="str">
        <f aca="false">IF($A352="","",IF(INDEX(Muster!$C$7:$BF$7,1,MOD($A352-Einstellungen!$C$6,Einstellungen!$C$7)+1)="","-",INDEX(Muster!$C$7:$BF$7,1,MOD($A352-Einstellungen!$C$6,Einstellungen!$C$7)+1)))</f>
        <v>-</v>
      </c>
      <c r="O352" s="27" t="n">
        <f aca="false">IF($A352="","",IFERROR(VLOOKUP(N352,Schichten!$A$5:$G$24,6,FALSE()),0))</f>
        <v>0</v>
      </c>
      <c r="P352" s="27" t="n">
        <f aca="false">IF($A352="","",IFERROR(VLOOKUP(N352,Schichten!$A$5:$G$24,7,FALSE()),0))</f>
        <v>0</v>
      </c>
      <c r="Q352" s="28" t="str">
        <f aca="false">IF($A352="","",IF(N(O352)=0,"",$A352+VLOOKUP(N352,Schichten!$A$5:$G$24,3,FALSE())))</f>
        <v/>
      </c>
      <c r="R352" s="28" t="str">
        <f aca="false">IF(Q352="","",$A352+VLOOKUP(N352,Schichten!$A$5:$G$24,4,FALSE())+IF(VLOOKUP(N352,Schichten!$A$5:$G$24,4,FALSE())&lt;=VLOOKUP(N352,Schichten!$A$5:$G$24,3,FALSE()),1,0))</f>
        <v/>
      </c>
      <c r="S352" s="28" t="n">
        <f aca="false">IF($A352="","",IF(N(O351)&gt;0,R351,S351))</f>
        <v>46735.25</v>
      </c>
      <c r="T352" s="27" t="str">
        <f aca="false">IF(OR(Q352="",S352=""),"",(Q352-S352)*24)</f>
        <v/>
      </c>
      <c r="U352" s="21" t="n">
        <f aca="false">IF($A352="","",IF(N(O352)&gt;0,N(U351)+1,0))</f>
        <v>0</v>
      </c>
      <c r="V352" s="21" t="n">
        <f aca="false">IF($A352="","",IF(N(P352)&gt;0,N(V351)+1,0))</f>
        <v>0</v>
      </c>
      <c r="W352" s="21" t="str">
        <f aca="false">IF($A352="","",IF(WEEKDAY($A352,2)&lt;&gt;7,"",IF(AND(OR(Q352="",N(Q352)&gt;=$A352+16/24,N(R352)&lt;=$A352+6/24),OR(S352="",N(S352)&lt;=$A352+6/24)),1,0)))</f>
        <v/>
      </c>
      <c r="X352" s="26" t="str">
        <f aca="false">IF($A352="","",IF(INDEX(Muster!$C$8:$BF$8,1,MOD($A352-Einstellungen!$C$6,Einstellungen!$C$7)+1)="","-",INDEX(Muster!$C$8:$BF$8,1,MOD($A352-Einstellungen!$C$6,Einstellungen!$C$7)+1)))</f>
        <v>N</v>
      </c>
      <c r="Y352" s="27" t="n">
        <f aca="false">IF($A352="","",IFERROR(VLOOKUP(X352,Schichten!$A$5:$G$24,6,FALSE()),0))</f>
        <v>8</v>
      </c>
      <c r="Z352" s="27" t="n">
        <f aca="false">IF($A352="","",IFERROR(VLOOKUP(X352,Schichten!$A$5:$G$24,7,FALSE()),0))</f>
        <v>7</v>
      </c>
      <c r="AA352" s="28" t="n">
        <f aca="false">IF($A352="","",IF(N(Y352)=0,"",$A352+VLOOKUP(X352,Schichten!$A$5:$G$24,3,FALSE())))</f>
        <v>46735.9166666667</v>
      </c>
      <c r="AB352" s="28" t="n">
        <f aca="false">IF(AA352="","",$A352+VLOOKUP(X352,Schichten!$A$5:$G$24,4,FALSE())+IF(VLOOKUP(X352,Schichten!$A$5:$G$24,4,FALSE())&lt;=VLOOKUP(X352,Schichten!$A$5:$G$24,3,FALSE()),1,0))</f>
        <v>46736.25</v>
      </c>
      <c r="AC352" s="28" t="n">
        <f aca="false">IF($A352="","",IF(N(Y351)&gt;0,AB351,AC351))</f>
        <v>46734.9166666667</v>
      </c>
      <c r="AD352" s="27" t="n">
        <f aca="false">IF(OR(AA352="",AC352=""),"",(AA352-AC352)*24)</f>
        <v>24</v>
      </c>
      <c r="AE352" s="21" t="n">
        <f aca="false">IF($A352="","",IF(N(Y352)&gt;0,N(AE351)+1,0))</f>
        <v>5</v>
      </c>
      <c r="AF352" s="21" t="n">
        <f aca="false">IF($A352="","",IF(N(Z352)&gt;0,N(AF351)+1,0))</f>
        <v>1</v>
      </c>
      <c r="AG352" s="21" t="str">
        <f aca="false">IF($A352="","",IF(WEEKDAY($A352,2)&lt;&gt;7,"",IF(AND(OR(AA352="",N(AA352)&gt;=$A352+16/24,N(AB352)&lt;=$A352+6/24),OR(AC352="",N(AC352)&lt;=$A352+6/24)),1,0)))</f>
        <v/>
      </c>
      <c r="AH352" s="26" t="str">
        <f aca="false">IF($A352="","",IF(INDEX(Muster!$C$9:$BF$9,1,MOD($A352-Einstellungen!$C$6,Einstellungen!$C$7)+1)="","-",INDEX(Muster!$C$9:$BF$9,1,MOD($A352-Einstellungen!$C$6,Einstellungen!$C$7)+1)))</f>
        <v>S</v>
      </c>
      <c r="AI352" s="27" t="n">
        <f aca="false">IF($A352="","",IFERROR(VLOOKUP(AH352,Schichten!$A$5:$G$24,6,FALSE()),0))</f>
        <v>8</v>
      </c>
      <c r="AJ352" s="27" t="n">
        <f aca="false">IF($A352="","",IFERROR(VLOOKUP(AH352,Schichten!$A$5:$G$24,7,FALSE()),0))</f>
        <v>0</v>
      </c>
      <c r="AK352" s="28" t="n">
        <f aca="false">IF($A352="","",IF(N(AI352)=0,"",$A352+VLOOKUP(AH352,Schichten!$A$5:$G$24,3,FALSE())))</f>
        <v>46735.5833333333</v>
      </c>
      <c r="AL352" s="28" t="n">
        <f aca="false">IF(AK352="","",$A352+VLOOKUP(AH352,Schichten!$A$5:$G$24,4,FALSE())+IF(VLOOKUP(AH352,Schichten!$A$5:$G$24,4,FALSE())&lt;=VLOOKUP(AH352,Schichten!$A$5:$G$24,3,FALSE()),1,0))</f>
        <v>46735.9166666667</v>
      </c>
      <c r="AM352" s="28" t="n">
        <f aca="false">IF($A352="","",IF(N(AI351)&gt;0,AL351,AM351))</f>
        <v>46734.5833333333</v>
      </c>
      <c r="AN352" s="27" t="n">
        <f aca="false">IF(OR(AK352="",AM352=""),"",(AK352-AM352)*24)</f>
        <v>24</v>
      </c>
      <c r="AO352" s="21" t="n">
        <f aca="false">IF($A352="","",IF(N(AI352)&gt;0,N(AO351)+1,0))</f>
        <v>3</v>
      </c>
      <c r="AP352" s="21" t="n">
        <f aca="false">IF($A352="","",IF(N(AJ352)&gt;0,N(AP351)+1,0))</f>
        <v>0</v>
      </c>
      <c r="AQ352" s="21" t="str">
        <f aca="false">IF($A352="","",IF(WEEKDAY($A352,2)&lt;&gt;7,"",IF(AND(OR(AK352="",N(AK352)&gt;=$A352+16/24,N(AL352)&lt;=$A352+6/24),OR(AM352="",N(AM352)&lt;=$A352+6/24)),1,0)))</f>
        <v/>
      </c>
      <c r="AR352" s="26" t="str">
        <f aca="false">IF($A352="","",IF(INDEX(Muster!$C$10:$BF$10,1,MOD($A352-Einstellungen!$C$6,Einstellungen!$C$7)+1)="","-",INDEX(Muster!$C$10:$BF$10,1,MOD($A352-Einstellungen!$C$6,Einstellungen!$C$7)+1)))</f>
        <v>-</v>
      </c>
      <c r="AS352" s="27" t="n">
        <f aca="false">IF($A352="","",IFERROR(VLOOKUP(AR352,Schichten!$A$5:$G$24,6,FALSE()),0))</f>
        <v>0</v>
      </c>
      <c r="AT352" s="27" t="n">
        <f aca="false">IF($A352="","",IFERROR(VLOOKUP(AR352,Schichten!$A$5:$G$24,7,FALSE()),0))</f>
        <v>0</v>
      </c>
      <c r="AU352" s="28" t="str">
        <f aca="false">IF($A352="","",IF(N(AS352)=0,"",$A352+VLOOKUP(AR352,Schichten!$A$5:$G$24,3,FALSE())))</f>
        <v/>
      </c>
      <c r="AV352" s="28" t="str">
        <f aca="false">IF(AU352="","",$A352+VLOOKUP(AR352,Schichten!$A$5:$G$24,4,FALSE())+IF(VLOOKUP(AR352,Schichten!$A$5:$G$24,4,FALSE())&lt;=VLOOKUP(AR352,Schichten!$A$5:$G$24,3,FALSE()),1,0))</f>
        <v/>
      </c>
      <c r="AW352" s="28" t="str">
        <f aca="false">IF($A352="","",IF(N(AS351)&gt;0,AV351,AW351))</f>
        <v/>
      </c>
      <c r="AX352" s="27" t="str">
        <f aca="false">IF(OR(AU352="",AW352=""),"",(AU352-AW352)*24)</f>
        <v/>
      </c>
      <c r="AY352" s="21" t="n">
        <f aca="false">IF($A352="","",IF(N(AS352)&gt;0,N(AY351)+1,0))</f>
        <v>0</v>
      </c>
      <c r="AZ352" s="21" t="n">
        <f aca="false">IF($A352="","",IF(N(AT352)&gt;0,N(AZ351)+1,0))</f>
        <v>0</v>
      </c>
      <c r="BA352" s="21" t="str">
        <f aca="false">IF($A352="","",IF(WEEKDAY($A352,2)&lt;&gt;7,"",IF(AND(OR(AU352="",N(AU352)&gt;=$A352+16/24,N(AV352)&lt;=$A352+6/24),OR(AW352="",N(AW352)&lt;=$A352+6/24)),1,0)))</f>
        <v/>
      </c>
    </row>
    <row r="353" customFormat="false" ht="15" hidden="false" customHeight="false" outlineLevel="0" collapsed="false">
      <c r="A353" s="25" t="n">
        <f aca="false">IF(YEAR(DATE(Einstellungen!$C$4,1,1)+348)=Einstellungen!$C$4,DATE(Einstellungen!$C$4,1,1)+348,"")</f>
        <v>46736</v>
      </c>
      <c r="B353" s="26" t="str">
        <f aca="false">IF($A353="","",CHOOSE(WEEKDAY($A353,2),"Mo","Di","Mi","Do","Fr","Sa","So"))</f>
        <v>Mi</v>
      </c>
      <c r="C353" s="26" t="n">
        <f aca="false">IF($A353="","",MONTH($A353))</f>
        <v>12</v>
      </c>
      <c r="D353" s="26" t="str">
        <f aca="false">IF($A353="","",IF(INDEX(Muster!$C$6:$BF$6,1,MOD($A353-Einstellungen!$C$6,Einstellungen!$C$7)+1)="","-",INDEX(Muster!$C$6:$BF$6,1,MOD($A353-Einstellungen!$C$6,Einstellungen!$C$7)+1)))</f>
        <v>F</v>
      </c>
      <c r="E353" s="27" t="n">
        <f aca="false">IF($A353="","",IFERROR(VLOOKUP(D353,Schichten!$A$5:$G$24,6,FALSE()),0))</f>
        <v>8</v>
      </c>
      <c r="F353" s="27" t="n">
        <f aca="false">IF($A353="","",IFERROR(VLOOKUP(D353,Schichten!$A$5:$G$24,7,FALSE()),0))</f>
        <v>0</v>
      </c>
      <c r="G353" s="28" t="n">
        <f aca="false">IF($A353="","",IF(N(E353)=0,"",$A353+VLOOKUP(D353,Schichten!$A$5:$G$24,3,FALSE())))</f>
        <v>46736.25</v>
      </c>
      <c r="H353" s="28" t="n">
        <f aca="false">IF(G353="","",$A353+VLOOKUP(D353,Schichten!$A$5:$G$24,4,FALSE())+IF(VLOOKUP(D353,Schichten!$A$5:$G$24,4,FALSE())&lt;=VLOOKUP(D353,Schichten!$A$5:$G$24,3,FALSE()),1,0))</f>
        <v>46736.5833333333</v>
      </c>
      <c r="I353" s="28" t="n">
        <f aca="false">IF($A353="","",IF(N(E352)&gt;0,H352,I352))</f>
        <v>46735.5833333333</v>
      </c>
      <c r="J353" s="27" t="n">
        <f aca="false">IF(OR(G353="",I353=""),"",(G353-I353)*24)</f>
        <v>16</v>
      </c>
      <c r="K353" s="21" t="n">
        <f aca="false">IF($A353="","",IF(N(E353)&gt;0,N(K352)+1,0))</f>
        <v>2</v>
      </c>
      <c r="L353" s="21" t="n">
        <f aca="false">IF($A353="","",IF(N(F353)&gt;0,N(L352)+1,0))</f>
        <v>0</v>
      </c>
      <c r="M353" s="21" t="str">
        <f aca="false">IF($A353="","",IF(WEEKDAY($A353,2)&lt;&gt;7,"",IF(AND(OR(G353="",N(G353)&gt;=$A353+16/24,N(H353)&lt;=$A353+6/24),OR(I353="",N(I353)&lt;=$A353+6/24)),1,0)))</f>
        <v/>
      </c>
      <c r="N353" s="26" t="str">
        <f aca="false">IF($A353="","",IF(INDEX(Muster!$C$7:$BF$7,1,MOD($A353-Einstellungen!$C$6,Einstellungen!$C$7)+1)="","-",INDEX(Muster!$C$7:$BF$7,1,MOD($A353-Einstellungen!$C$6,Einstellungen!$C$7)+1)))</f>
        <v>-</v>
      </c>
      <c r="O353" s="27" t="n">
        <f aca="false">IF($A353="","",IFERROR(VLOOKUP(N353,Schichten!$A$5:$G$24,6,FALSE()),0))</f>
        <v>0</v>
      </c>
      <c r="P353" s="27" t="n">
        <f aca="false">IF($A353="","",IFERROR(VLOOKUP(N353,Schichten!$A$5:$G$24,7,FALSE()),0))</f>
        <v>0</v>
      </c>
      <c r="Q353" s="28" t="str">
        <f aca="false">IF($A353="","",IF(N(O353)=0,"",$A353+VLOOKUP(N353,Schichten!$A$5:$G$24,3,FALSE())))</f>
        <v/>
      </c>
      <c r="R353" s="28" t="str">
        <f aca="false">IF(Q353="","",$A353+VLOOKUP(N353,Schichten!$A$5:$G$24,4,FALSE())+IF(VLOOKUP(N353,Schichten!$A$5:$G$24,4,FALSE())&lt;=VLOOKUP(N353,Schichten!$A$5:$G$24,3,FALSE()),1,0))</f>
        <v/>
      </c>
      <c r="S353" s="28" t="n">
        <f aca="false">IF($A353="","",IF(N(O352)&gt;0,R352,S352))</f>
        <v>46735.25</v>
      </c>
      <c r="T353" s="27" t="str">
        <f aca="false">IF(OR(Q353="",S353=""),"",(Q353-S353)*24)</f>
        <v/>
      </c>
      <c r="U353" s="21" t="n">
        <f aca="false">IF($A353="","",IF(N(O353)&gt;0,N(U352)+1,0))</f>
        <v>0</v>
      </c>
      <c r="V353" s="21" t="n">
        <f aca="false">IF($A353="","",IF(N(P353)&gt;0,N(V352)+1,0))</f>
        <v>0</v>
      </c>
      <c r="W353" s="21" t="str">
        <f aca="false">IF($A353="","",IF(WEEKDAY($A353,2)&lt;&gt;7,"",IF(AND(OR(Q353="",N(Q353)&gt;=$A353+16/24,N(R353)&lt;=$A353+6/24),OR(S353="",N(S353)&lt;=$A353+6/24)),1,0)))</f>
        <v/>
      </c>
      <c r="X353" s="26" t="str">
        <f aca="false">IF($A353="","",IF(INDEX(Muster!$C$8:$BF$8,1,MOD($A353-Einstellungen!$C$6,Einstellungen!$C$7)+1)="","-",INDEX(Muster!$C$8:$BF$8,1,MOD($A353-Einstellungen!$C$6,Einstellungen!$C$7)+1)))</f>
        <v>N</v>
      </c>
      <c r="Y353" s="27" t="n">
        <f aca="false">IF($A353="","",IFERROR(VLOOKUP(X353,Schichten!$A$5:$G$24,6,FALSE()),0))</f>
        <v>8</v>
      </c>
      <c r="Z353" s="27" t="n">
        <f aca="false">IF($A353="","",IFERROR(VLOOKUP(X353,Schichten!$A$5:$G$24,7,FALSE()),0))</f>
        <v>7</v>
      </c>
      <c r="AA353" s="28" t="n">
        <f aca="false">IF($A353="","",IF(N(Y353)=0,"",$A353+VLOOKUP(X353,Schichten!$A$5:$G$24,3,FALSE())))</f>
        <v>46736.9166666667</v>
      </c>
      <c r="AB353" s="28" t="n">
        <f aca="false">IF(AA353="","",$A353+VLOOKUP(X353,Schichten!$A$5:$G$24,4,FALSE())+IF(VLOOKUP(X353,Schichten!$A$5:$G$24,4,FALSE())&lt;=VLOOKUP(X353,Schichten!$A$5:$G$24,3,FALSE()),1,0))</f>
        <v>46737.25</v>
      </c>
      <c r="AC353" s="28" t="n">
        <f aca="false">IF($A353="","",IF(N(Y352)&gt;0,AB352,AC352))</f>
        <v>46736.25</v>
      </c>
      <c r="AD353" s="27" t="n">
        <f aca="false">IF(OR(AA353="",AC353=""),"",(AA353-AC353)*24)</f>
        <v>16</v>
      </c>
      <c r="AE353" s="21" t="n">
        <f aca="false">IF($A353="","",IF(N(Y353)&gt;0,N(AE352)+1,0))</f>
        <v>6</v>
      </c>
      <c r="AF353" s="21" t="n">
        <f aca="false">IF($A353="","",IF(N(Z353)&gt;0,N(AF352)+1,0))</f>
        <v>2</v>
      </c>
      <c r="AG353" s="21" t="str">
        <f aca="false">IF($A353="","",IF(WEEKDAY($A353,2)&lt;&gt;7,"",IF(AND(OR(AA353="",N(AA353)&gt;=$A353+16/24,N(AB353)&lt;=$A353+6/24),OR(AC353="",N(AC353)&lt;=$A353+6/24)),1,0)))</f>
        <v/>
      </c>
      <c r="AH353" s="26" t="str">
        <f aca="false">IF($A353="","",IF(INDEX(Muster!$C$9:$BF$9,1,MOD($A353-Einstellungen!$C$6,Einstellungen!$C$7)+1)="","-",INDEX(Muster!$C$9:$BF$9,1,MOD($A353-Einstellungen!$C$6,Einstellungen!$C$7)+1)))</f>
        <v>S</v>
      </c>
      <c r="AI353" s="27" t="n">
        <f aca="false">IF($A353="","",IFERROR(VLOOKUP(AH353,Schichten!$A$5:$G$24,6,FALSE()),0))</f>
        <v>8</v>
      </c>
      <c r="AJ353" s="27" t="n">
        <f aca="false">IF($A353="","",IFERROR(VLOOKUP(AH353,Schichten!$A$5:$G$24,7,FALSE()),0))</f>
        <v>0</v>
      </c>
      <c r="AK353" s="28" t="n">
        <f aca="false">IF($A353="","",IF(N(AI353)=0,"",$A353+VLOOKUP(AH353,Schichten!$A$5:$G$24,3,FALSE())))</f>
        <v>46736.5833333333</v>
      </c>
      <c r="AL353" s="28" t="n">
        <f aca="false">IF(AK353="","",$A353+VLOOKUP(AH353,Schichten!$A$5:$G$24,4,FALSE())+IF(VLOOKUP(AH353,Schichten!$A$5:$G$24,4,FALSE())&lt;=VLOOKUP(AH353,Schichten!$A$5:$G$24,3,FALSE()),1,0))</f>
        <v>46736.9166666667</v>
      </c>
      <c r="AM353" s="28" t="n">
        <f aca="false">IF($A353="","",IF(N(AI352)&gt;0,AL352,AM352))</f>
        <v>46735.9166666667</v>
      </c>
      <c r="AN353" s="27" t="n">
        <f aca="false">IF(OR(AK353="",AM353=""),"",(AK353-AM353)*24)</f>
        <v>16</v>
      </c>
      <c r="AO353" s="21" t="n">
        <f aca="false">IF($A353="","",IF(N(AI353)&gt;0,N(AO352)+1,0))</f>
        <v>4</v>
      </c>
      <c r="AP353" s="21" t="n">
        <f aca="false">IF($A353="","",IF(N(AJ353)&gt;0,N(AP352)+1,0))</f>
        <v>0</v>
      </c>
      <c r="AQ353" s="21" t="str">
        <f aca="false">IF($A353="","",IF(WEEKDAY($A353,2)&lt;&gt;7,"",IF(AND(OR(AK353="",N(AK353)&gt;=$A353+16/24,N(AL353)&lt;=$A353+6/24),OR(AM353="",N(AM353)&lt;=$A353+6/24)),1,0)))</f>
        <v/>
      </c>
      <c r="AR353" s="26" t="str">
        <f aca="false">IF($A353="","",IF(INDEX(Muster!$C$10:$BF$10,1,MOD($A353-Einstellungen!$C$6,Einstellungen!$C$7)+1)="","-",INDEX(Muster!$C$10:$BF$10,1,MOD($A353-Einstellungen!$C$6,Einstellungen!$C$7)+1)))</f>
        <v>-</v>
      </c>
      <c r="AS353" s="27" t="n">
        <f aca="false">IF($A353="","",IFERROR(VLOOKUP(AR353,Schichten!$A$5:$G$24,6,FALSE()),0))</f>
        <v>0</v>
      </c>
      <c r="AT353" s="27" t="n">
        <f aca="false">IF($A353="","",IFERROR(VLOOKUP(AR353,Schichten!$A$5:$G$24,7,FALSE()),0))</f>
        <v>0</v>
      </c>
      <c r="AU353" s="28" t="str">
        <f aca="false">IF($A353="","",IF(N(AS353)=0,"",$A353+VLOOKUP(AR353,Schichten!$A$5:$G$24,3,FALSE())))</f>
        <v/>
      </c>
      <c r="AV353" s="28" t="str">
        <f aca="false">IF(AU353="","",$A353+VLOOKUP(AR353,Schichten!$A$5:$G$24,4,FALSE())+IF(VLOOKUP(AR353,Schichten!$A$5:$G$24,4,FALSE())&lt;=VLOOKUP(AR353,Schichten!$A$5:$G$24,3,FALSE()),1,0))</f>
        <v/>
      </c>
      <c r="AW353" s="28" t="str">
        <f aca="false">IF($A353="","",IF(N(AS352)&gt;0,AV352,AW352))</f>
        <v/>
      </c>
      <c r="AX353" s="27" t="str">
        <f aca="false">IF(OR(AU353="",AW353=""),"",(AU353-AW353)*24)</f>
        <v/>
      </c>
      <c r="AY353" s="21" t="n">
        <f aca="false">IF($A353="","",IF(N(AS353)&gt;0,N(AY352)+1,0))</f>
        <v>0</v>
      </c>
      <c r="AZ353" s="21" t="n">
        <f aca="false">IF($A353="","",IF(N(AT353)&gt;0,N(AZ352)+1,0))</f>
        <v>0</v>
      </c>
      <c r="BA353" s="21" t="str">
        <f aca="false">IF($A353="","",IF(WEEKDAY($A353,2)&lt;&gt;7,"",IF(AND(OR(AU353="",N(AU353)&gt;=$A353+16/24,N(AV353)&lt;=$A353+6/24),OR(AW353="",N(AW353)&lt;=$A353+6/24)),1,0)))</f>
        <v/>
      </c>
    </row>
    <row r="354" customFormat="false" ht="15" hidden="false" customHeight="false" outlineLevel="0" collapsed="false">
      <c r="A354" s="25" t="n">
        <f aca="false">IF(YEAR(DATE(Einstellungen!$C$4,1,1)+349)=Einstellungen!$C$4,DATE(Einstellungen!$C$4,1,1)+349,"")</f>
        <v>46737</v>
      </c>
      <c r="B354" s="26" t="str">
        <f aca="false">IF($A354="","",CHOOSE(WEEKDAY($A354,2),"Mo","Di","Mi","Do","Fr","Sa","So"))</f>
        <v>Do</v>
      </c>
      <c r="C354" s="26" t="n">
        <f aca="false">IF($A354="","",MONTH($A354))</f>
        <v>12</v>
      </c>
      <c r="D354" s="26" t="str">
        <f aca="false">IF($A354="","",IF(INDEX(Muster!$C$6:$BF$6,1,MOD($A354-Einstellungen!$C$6,Einstellungen!$C$7)+1)="","-",INDEX(Muster!$C$6:$BF$6,1,MOD($A354-Einstellungen!$C$6,Einstellungen!$C$7)+1)))</f>
        <v>S</v>
      </c>
      <c r="E354" s="27" t="n">
        <f aca="false">IF($A354="","",IFERROR(VLOOKUP(D354,Schichten!$A$5:$G$24,6,FALSE()),0))</f>
        <v>8</v>
      </c>
      <c r="F354" s="27" t="n">
        <f aca="false">IF($A354="","",IFERROR(VLOOKUP(D354,Schichten!$A$5:$G$24,7,FALSE()),0))</f>
        <v>0</v>
      </c>
      <c r="G354" s="28" t="n">
        <f aca="false">IF($A354="","",IF(N(E354)=0,"",$A354+VLOOKUP(D354,Schichten!$A$5:$G$24,3,FALSE())))</f>
        <v>46737.5833333333</v>
      </c>
      <c r="H354" s="28" t="n">
        <f aca="false">IF(G354="","",$A354+VLOOKUP(D354,Schichten!$A$5:$G$24,4,FALSE())+IF(VLOOKUP(D354,Schichten!$A$5:$G$24,4,FALSE())&lt;=VLOOKUP(D354,Schichten!$A$5:$G$24,3,FALSE()),1,0))</f>
        <v>46737.9166666667</v>
      </c>
      <c r="I354" s="28" t="n">
        <f aca="false">IF($A354="","",IF(N(E353)&gt;0,H353,I353))</f>
        <v>46736.5833333333</v>
      </c>
      <c r="J354" s="27" t="n">
        <f aca="false">IF(OR(G354="",I354=""),"",(G354-I354)*24)</f>
        <v>24</v>
      </c>
      <c r="K354" s="21" t="n">
        <f aca="false">IF($A354="","",IF(N(E354)&gt;0,N(K353)+1,0))</f>
        <v>3</v>
      </c>
      <c r="L354" s="21" t="n">
        <f aca="false">IF($A354="","",IF(N(F354)&gt;0,N(L353)+1,0))</f>
        <v>0</v>
      </c>
      <c r="M354" s="21" t="str">
        <f aca="false">IF($A354="","",IF(WEEKDAY($A354,2)&lt;&gt;7,"",IF(AND(OR(G354="",N(G354)&gt;=$A354+16/24,N(H354)&lt;=$A354+6/24),OR(I354="",N(I354)&lt;=$A354+6/24)),1,0)))</f>
        <v/>
      </c>
      <c r="N354" s="26" t="str">
        <f aca="false">IF($A354="","",IF(INDEX(Muster!$C$7:$BF$7,1,MOD($A354-Einstellungen!$C$6,Einstellungen!$C$7)+1)="","-",INDEX(Muster!$C$7:$BF$7,1,MOD($A354-Einstellungen!$C$6,Einstellungen!$C$7)+1)))</f>
        <v>F</v>
      </c>
      <c r="O354" s="27" t="n">
        <f aca="false">IF($A354="","",IFERROR(VLOOKUP(N354,Schichten!$A$5:$G$24,6,FALSE()),0))</f>
        <v>8</v>
      </c>
      <c r="P354" s="27" t="n">
        <f aca="false">IF($A354="","",IFERROR(VLOOKUP(N354,Schichten!$A$5:$G$24,7,FALSE()),0))</f>
        <v>0</v>
      </c>
      <c r="Q354" s="28" t="n">
        <f aca="false">IF($A354="","",IF(N(O354)=0,"",$A354+VLOOKUP(N354,Schichten!$A$5:$G$24,3,FALSE())))</f>
        <v>46737.25</v>
      </c>
      <c r="R354" s="28" t="n">
        <f aca="false">IF(Q354="","",$A354+VLOOKUP(N354,Schichten!$A$5:$G$24,4,FALSE())+IF(VLOOKUP(N354,Schichten!$A$5:$G$24,4,FALSE())&lt;=VLOOKUP(N354,Schichten!$A$5:$G$24,3,FALSE()),1,0))</f>
        <v>46737.5833333333</v>
      </c>
      <c r="S354" s="28" t="n">
        <f aca="false">IF($A354="","",IF(N(O353)&gt;0,R353,S353))</f>
        <v>46735.25</v>
      </c>
      <c r="T354" s="27" t="n">
        <f aca="false">IF(OR(Q354="",S354=""),"",(Q354-S354)*24)</f>
        <v>48</v>
      </c>
      <c r="U354" s="21" t="n">
        <f aca="false">IF($A354="","",IF(N(O354)&gt;0,N(U353)+1,0))</f>
        <v>1</v>
      </c>
      <c r="V354" s="21" t="n">
        <f aca="false">IF($A354="","",IF(N(P354)&gt;0,N(V353)+1,0))</f>
        <v>0</v>
      </c>
      <c r="W354" s="21" t="str">
        <f aca="false">IF($A354="","",IF(WEEKDAY($A354,2)&lt;&gt;7,"",IF(AND(OR(Q354="",N(Q354)&gt;=$A354+16/24,N(R354)&lt;=$A354+6/24),OR(S354="",N(S354)&lt;=$A354+6/24)),1,0)))</f>
        <v/>
      </c>
      <c r="X354" s="26" t="str">
        <f aca="false">IF($A354="","",IF(INDEX(Muster!$C$8:$BF$8,1,MOD($A354-Einstellungen!$C$6,Einstellungen!$C$7)+1)="","-",INDEX(Muster!$C$8:$BF$8,1,MOD($A354-Einstellungen!$C$6,Einstellungen!$C$7)+1)))</f>
        <v>-</v>
      </c>
      <c r="Y354" s="27" t="n">
        <f aca="false">IF($A354="","",IFERROR(VLOOKUP(X354,Schichten!$A$5:$G$24,6,FALSE()),0))</f>
        <v>0</v>
      </c>
      <c r="Z354" s="27" t="n">
        <f aca="false">IF($A354="","",IFERROR(VLOOKUP(X354,Schichten!$A$5:$G$24,7,FALSE()),0))</f>
        <v>0</v>
      </c>
      <c r="AA354" s="28" t="str">
        <f aca="false">IF($A354="","",IF(N(Y354)=0,"",$A354+VLOOKUP(X354,Schichten!$A$5:$G$24,3,FALSE())))</f>
        <v/>
      </c>
      <c r="AB354" s="28" t="str">
        <f aca="false">IF(AA354="","",$A354+VLOOKUP(X354,Schichten!$A$5:$G$24,4,FALSE())+IF(VLOOKUP(X354,Schichten!$A$5:$G$24,4,FALSE())&lt;=VLOOKUP(X354,Schichten!$A$5:$G$24,3,FALSE()),1,0))</f>
        <v/>
      </c>
      <c r="AC354" s="28" t="n">
        <f aca="false">IF($A354="","",IF(N(Y353)&gt;0,AB353,AC353))</f>
        <v>46737.25</v>
      </c>
      <c r="AD354" s="27" t="str">
        <f aca="false">IF(OR(AA354="",AC354=""),"",(AA354-AC354)*24)</f>
        <v/>
      </c>
      <c r="AE354" s="21" t="n">
        <f aca="false">IF($A354="","",IF(N(Y354)&gt;0,N(AE353)+1,0))</f>
        <v>0</v>
      </c>
      <c r="AF354" s="21" t="n">
        <f aca="false">IF($A354="","",IF(N(Z354)&gt;0,N(AF353)+1,0))</f>
        <v>0</v>
      </c>
      <c r="AG354" s="21" t="str">
        <f aca="false">IF($A354="","",IF(WEEKDAY($A354,2)&lt;&gt;7,"",IF(AND(OR(AA354="",N(AA354)&gt;=$A354+16/24,N(AB354)&lt;=$A354+6/24),OR(AC354="",N(AC354)&lt;=$A354+6/24)),1,0)))</f>
        <v/>
      </c>
      <c r="AH354" s="26" t="str">
        <f aca="false">IF($A354="","",IF(INDEX(Muster!$C$9:$BF$9,1,MOD($A354-Einstellungen!$C$6,Einstellungen!$C$7)+1)="","-",INDEX(Muster!$C$9:$BF$9,1,MOD($A354-Einstellungen!$C$6,Einstellungen!$C$7)+1)))</f>
        <v>N</v>
      </c>
      <c r="AI354" s="27" t="n">
        <f aca="false">IF($A354="","",IFERROR(VLOOKUP(AH354,Schichten!$A$5:$G$24,6,FALSE()),0))</f>
        <v>8</v>
      </c>
      <c r="AJ354" s="27" t="n">
        <f aca="false">IF($A354="","",IFERROR(VLOOKUP(AH354,Schichten!$A$5:$G$24,7,FALSE()),0))</f>
        <v>7</v>
      </c>
      <c r="AK354" s="28" t="n">
        <f aca="false">IF($A354="","",IF(N(AI354)=0,"",$A354+VLOOKUP(AH354,Schichten!$A$5:$G$24,3,FALSE())))</f>
        <v>46737.9166666667</v>
      </c>
      <c r="AL354" s="28" t="n">
        <f aca="false">IF(AK354="","",$A354+VLOOKUP(AH354,Schichten!$A$5:$G$24,4,FALSE())+IF(VLOOKUP(AH354,Schichten!$A$5:$G$24,4,FALSE())&lt;=VLOOKUP(AH354,Schichten!$A$5:$G$24,3,FALSE()),1,0))</f>
        <v>46738.25</v>
      </c>
      <c r="AM354" s="28" t="n">
        <f aca="false">IF($A354="","",IF(N(AI353)&gt;0,AL353,AM353))</f>
        <v>46736.9166666667</v>
      </c>
      <c r="AN354" s="27" t="n">
        <f aca="false">IF(OR(AK354="",AM354=""),"",(AK354-AM354)*24)</f>
        <v>24</v>
      </c>
      <c r="AO354" s="21" t="n">
        <f aca="false">IF($A354="","",IF(N(AI354)&gt;0,N(AO353)+1,0))</f>
        <v>5</v>
      </c>
      <c r="AP354" s="21" t="n">
        <f aca="false">IF($A354="","",IF(N(AJ354)&gt;0,N(AP353)+1,0))</f>
        <v>1</v>
      </c>
      <c r="AQ354" s="21" t="str">
        <f aca="false">IF($A354="","",IF(WEEKDAY($A354,2)&lt;&gt;7,"",IF(AND(OR(AK354="",N(AK354)&gt;=$A354+16/24,N(AL354)&lt;=$A354+6/24),OR(AM354="",N(AM354)&lt;=$A354+6/24)),1,0)))</f>
        <v/>
      </c>
      <c r="AR354" s="26" t="str">
        <f aca="false">IF($A354="","",IF(INDEX(Muster!$C$10:$BF$10,1,MOD($A354-Einstellungen!$C$6,Einstellungen!$C$7)+1)="","-",INDEX(Muster!$C$10:$BF$10,1,MOD($A354-Einstellungen!$C$6,Einstellungen!$C$7)+1)))</f>
        <v>-</v>
      </c>
      <c r="AS354" s="27" t="n">
        <f aca="false">IF($A354="","",IFERROR(VLOOKUP(AR354,Schichten!$A$5:$G$24,6,FALSE()),0))</f>
        <v>0</v>
      </c>
      <c r="AT354" s="27" t="n">
        <f aca="false">IF($A354="","",IFERROR(VLOOKUP(AR354,Schichten!$A$5:$G$24,7,FALSE()),0))</f>
        <v>0</v>
      </c>
      <c r="AU354" s="28" t="str">
        <f aca="false">IF($A354="","",IF(N(AS354)=0,"",$A354+VLOOKUP(AR354,Schichten!$A$5:$G$24,3,FALSE())))</f>
        <v/>
      </c>
      <c r="AV354" s="28" t="str">
        <f aca="false">IF(AU354="","",$A354+VLOOKUP(AR354,Schichten!$A$5:$G$24,4,FALSE())+IF(VLOOKUP(AR354,Schichten!$A$5:$G$24,4,FALSE())&lt;=VLOOKUP(AR354,Schichten!$A$5:$G$24,3,FALSE()),1,0))</f>
        <v/>
      </c>
      <c r="AW354" s="28" t="str">
        <f aca="false">IF($A354="","",IF(N(AS353)&gt;0,AV353,AW353))</f>
        <v/>
      </c>
      <c r="AX354" s="27" t="str">
        <f aca="false">IF(OR(AU354="",AW354=""),"",(AU354-AW354)*24)</f>
        <v/>
      </c>
      <c r="AY354" s="21" t="n">
        <f aca="false">IF($A354="","",IF(N(AS354)&gt;0,N(AY353)+1,0))</f>
        <v>0</v>
      </c>
      <c r="AZ354" s="21" t="n">
        <f aca="false">IF($A354="","",IF(N(AT354)&gt;0,N(AZ353)+1,0))</f>
        <v>0</v>
      </c>
      <c r="BA354" s="21" t="str">
        <f aca="false">IF($A354="","",IF(WEEKDAY($A354,2)&lt;&gt;7,"",IF(AND(OR(AU354="",N(AU354)&gt;=$A354+16/24,N(AV354)&lt;=$A354+6/24),OR(AW354="",N(AW354)&lt;=$A354+6/24)),1,0)))</f>
        <v/>
      </c>
    </row>
    <row r="355" customFormat="false" ht="15" hidden="false" customHeight="false" outlineLevel="0" collapsed="false">
      <c r="A355" s="25" t="n">
        <f aca="false">IF(YEAR(DATE(Einstellungen!$C$4,1,1)+350)=Einstellungen!$C$4,DATE(Einstellungen!$C$4,1,1)+350,"")</f>
        <v>46738</v>
      </c>
      <c r="B355" s="26" t="str">
        <f aca="false">IF($A355="","",CHOOSE(WEEKDAY($A355,2),"Mo","Di","Mi","Do","Fr","Sa","So"))</f>
        <v>Fr</v>
      </c>
      <c r="C355" s="26" t="n">
        <f aca="false">IF($A355="","",MONTH($A355))</f>
        <v>12</v>
      </c>
      <c r="D355" s="26" t="str">
        <f aca="false">IF($A355="","",IF(INDEX(Muster!$C$6:$BF$6,1,MOD($A355-Einstellungen!$C$6,Einstellungen!$C$7)+1)="","-",INDEX(Muster!$C$6:$BF$6,1,MOD($A355-Einstellungen!$C$6,Einstellungen!$C$7)+1)))</f>
        <v>S</v>
      </c>
      <c r="E355" s="27" t="n">
        <f aca="false">IF($A355="","",IFERROR(VLOOKUP(D355,Schichten!$A$5:$G$24,6,FALSE()),0))</f>
        <v>8</v>
      </c>
      <c r="F355" s="27" t="n">
        <f aca="false">IF($A355="","",IFERROR(VLOOKUP(D355,Schichten!$A$5:$G$24,7,FALSE()),0))</f>
        <v>0</v>
      </c>
      <c r="G355" s="28" t="n">
        <f aca="false">IF($A355="","",IF(N(E355)=0,"",$A355+VLOOKUP(D355,Schichten!$A$5:$G$24,3,FALSE())))</f>
        <v>46738.5833333333</v>
      </c>
      <c r="H355" s="28" t="n">
        <f aca="false">IF(G355="","",$A355+VLOOKUP(D355,Schichten!$A$5:$G$24,4,FALSE())+IF(VLOOKUP(D355,Schichten!$A$5:$G$24,4,FALSE())&lt;=VLOOKUP(D355,Schichten!$A$5:$G$24,3,FALSE()),1,0))</f>
        <v>46738.9166666667</v>
      </c>
      <c r="I355" s="28" t="n">
        <f aca="false">IF($A355="","",IF(N(E354)&gt;0,H354,I354))</f>
        <v>46737.9166666667</v>
      </c>
      <c r="J355" s="27" t="n">
        <f aca="false">IF(OR(G355="",I355=""),"",(G355-I355)*24)</f>
        <v>16</v>
      </c>
      <c r="K355" s="21" t="n">
        <f aca="false">IF($A355="","",IF(N(E355)&gt;0,N(K354)+1,0))</f>
        <v>4</v>
      </c>
      <c r="L355" s="21" t="n">
        <f aca="false">IF($A355="","",IF(N(F355)&gt;0,N(L354)+1,0))</f>
        <v>0</v>
      </c>
      <c r="M355" s="21" t="str">
        <f aca="false">IF($A355="","",IF(WEEKDAY($A355,2)&lt;&gt;7,"",IF(AND(OR(G355="",N(G355)&gt;=$A355+16/24,N(H355)&lt;=$A355+6/24),OR(I355="",N(I355)&lt;=$A355+6/24)),1,0)))</f>
        <v/>
      </c>
      <c r="N355" s="26" t="str">
        <f aca="false">IF($A355="","",IF(INDEX(Muster!$C$7:$BF$7,1,MOD($A355-Einstellungen!$C$6,Einstellungen!$C$7)+1)="","-",INDEX(Muster!$C$7:$BF$7,1,MOD($A355-Einstellungen!$C$6,Einstellungen!$C$7)+1)))</f>
        <v>F</v>
      </c>
      <c r="O355" s="27" t="n">
        <f aca="false">IF($A355="","",IFERROR(VLOOKUP(N355,Schichten!$A$5:$G$24,6,FALSE()),0))</f>
        <v>8</v>
      </c>
      <c r="P355" s="27" t="n">
        <f aca="false">IF($A355="","",IFERROR(VLOOKUP(N355,Schichten!$A$5:$G$24,7,FALSE()),0))</f>
        <v>0</v>
      </c>
      <c r="Q355" s="28" t="n">
        <f aca="false">IF($A355="","",IF(N(O355)=0,"",$A355+VLOOKUP(N355,Schichten!$A$5:$G$24,3,FALSE())))</f>
        <v>46738.25</v>
      </c>
      <c r="R355" s="28" t="n">
        <f aca="false">IF(Q355="","",$A355+VLOOKUP(N355,Schichten!$A$5:$G$24,4,FALSE())+IF(VLOOKUP(N355,Schichten!$A$5:$G$24,4,FALSE())&lt;=VLOOKUP(N355,Schichten!$A$5:$G$24,3,FALSE()),1,0))</f>
        <v>46738.5833333333</v>
      </c>
      <c r="S355" s="28" t="n">
        <f aca="false">IF($A355="","",IF(N(O354)&gt;0,R354,S354))</f>
        <v>46737.5833333333</v>
      </c>
      <c r="T355" s="27" t="n">
        <f aca="false">IF(OR(Q355="",S355=""),"",(Q355-S355)*24)</f>
        <v>16</v>
      </c>
      <c r="U355" s="21" t="n">
        <f aca="false">IF($A355="","",IF(N(O355)&gt;0,N(U354)+1,0))</f>
        <v>2</v>
      </c>
      <c r="V355" s="21" t="n">
        <f aca="false">IF($A355="","",IF(N(P355)&gt;0,N(V354)+1,0))</f>
        <v>0</v>
      </c>
      <c r="W355" s="21" t="str">
        <f aca="false">IF($A355="","",IF(WEEKDAY($A355,2)&lt;&gt;7,"",IF(AND(OR(Q355="",N(Q355)&gt;=$A355+16/24,N(R355)&lt;=$A355+6/24),OR(S355="",N(S355)&lt;=$A355+6/24)),1,0)))</f>
        <v/>
      </c>
      <c r="X355" s="26" t="str">
        <f aca="false">IF($A355="","",IF(INDEX(Muster!$C$8:$BF$8,1,MOD($A355-Einstellungen!$C$6,Einstellungen!$C$7)+1)="","-",INDEX(Muster!$C$8:$BF$8,1,MOD($A355-Einstellungen!$C$6,Einstellungen!$C$7)+1)))</f>
        <v>-</v>
      </c>
      <c r="Y355" s="27" t="n">
        <f aca="false">IF($A355="","",IFERROR(VLOOKUP(X355,Schichten!$A$5:$G$24,6,FALSE()),0))</f>
        <v>0</v>
      </c>
      <c r="Z355" s="27" t="n">
        <f aca="false">IF($A355="","",IFERROR(VLOOKUP(X355,Schichten!$A$5:$G$24,7,FALSE()),0))</f>
        <v>0</v>
      </c>
      <c r="AA355" s="28" t="str">
        <f aca="false">IF($A355="","",IF(N(Y355)=0,"",$A355+VLOOKUP(X355,Schichten!$A$5:$G$24,3,FALSE())))</f>
        <v/>
      </c>
      <c r="AB355" s="28" t="str">
        <f aca="false">IF(AA355="","",$A355+VLOOKUP(X355,Schichten!$A$5:$G$24,4,FALSE())+IF(VLOOKUP(X355,Schichten!$A$5:$G$24,4,FALSE())&lt;=VLOOKUP(X355,Schichten!$A$5:$G$24,3,FALSE()),1,0))</f>
        <v/>
      </c>
      <c r="AC355" s="28" t="n">
        <f aca="false">IF($A355="","",IF(N(Y354)&gt;0,AB354,AC354))</f>
        <v>46737.25</v>
      </c>
      <c r="AD355" s="27" t="str">
        <f aca="false">IF(OR(AA355="",AC355=""),"",(AA355-AC355)*24)</f>
        <v/>
      </c>
      <c r="AE355" s="21" t="n">
        <f aca="false">IF($A355="","",IF(N(Y355)&gt;0,N(AE354)+1,0))</f>
        <v>0</v>
      </c>
      <c r="AF355" s="21" t="n">
        <f aca="false">IF($A355="","",IF(N(Z355)&gt;0,N(AF354)+1,0))</f>
        <v>0</v>
      </c>
      <c r="AG355" s="21" t="str">
        <f aca="false">IF($A355="","",IF(WEEKDAY($A355,2)&lt;&gt;7,"",IF(AND(OR(AA355="",N(AA355)&gt;=$A355+16/24,N(AB355)&lt;=$A355+6/24),OR(AC355="",N(AC355)&lt;=$A355+6/24)),1,0)))</f>
        <v/>
      </c>
      <c r="AH355" s="26" t="str">
        <f aca="false">IF($A355="","",IF(INDEX(Muster!$C$9:$BF$9,1,MOD($A355-Einstellungen!$C$6,Einstellungen!$C$7)+1)="","-",INDEX(Muster!$C$9:$BF$9,1,MOD($A355-Einstellungen!$C$6,Einstellungen!$C$7)+1)))</f>
        <v>N</v>
      </c>
      <c r="AI355" s="27" t="n">
        <f aca="false">IF($A355="","",IFERROR(VLOOKUP(AH355,Schichten!$A$5:$G$24,6,FALSE()),0))</f>
        <v>8</v>
      </c>
      <c r="AJ355" s="27" t="n">
        <f aca="false">IF($A355="","",IFERROR(VLOOKUP(AH355,Schichten!$A$5:$G$24,7,FALSE()),0))</f>
        <v>7</v>
      </c>
      <c r="AK355" s="28" t="n">
        <f aca="false">IF($A355="","",IF(N(AI355)=0,"",$A355+VLOOKUP(AH355,Schichten!$A$5:$G$24,3,FALSE())))</f>
        <v>46738.9166666667</v>
      </c>
      <c r="AL355" s="28" t="n">
        <f aca="false">IF(AK355="","",$A355+VLOOKUP(AH355,Schichten!$A$5:$G$24,4,FALSE())+IF(VLOOKUP(AH355,Schichten!$A$5:$G$24,4,FALSE())&lt;=VLOOKUP(AH355,Schichten!$A$5:$G$24,3,FALSE()),1,0))</f>
        <v>46739.25</v>
      </c>
      <c r="AM355" s="28" t="n">
        <f aca="false">IF($A355="","",IF(N(AI354)&gt;0,AL354,AM354))</f>
        <v>46738.25</v>
      </c>
      <c r="AN355" s="27" t="n">
        <f aca="false">IF(OR(AK355="",AM355=""),"",(AK355-AM355)*24)</f>
        <v>16</v>
      </c>
      <c r="AO355" s="21" t="n">
        <f aca="false">IF($A355="","",IF(N(AI355)&gt;0,N(AO354)+1,0))</f>
        <v>6</v>
      </c>
      <c r="AP355" s="21" t="n">
        <f aca="false">IF($A355="","",IF(N(AJ355)&gt;0,N(AP354)+1,0))</f>
        <v>2</v>
      </c>
      <c r="AQ355" s="21" t="str">
        <f aca="false">IF($A355="","",IF(WEEKDAY($A355,2)&lt;&gt;7,"",IF(AND(OR(AK355="",N(AK355)&gt;=$A355+16/24,N(AL355)&lt;=$A355+6/24),OR(AM355="",N(AM355)&lt;=$A355+6/24)),1,0)))</f>
        <v/>
      </c>
      <c r="AR355" s="26" t="str">
        <f aca="false">IF($A355="","",IF(INDEX(Muster!$C$10:$BF$10,1,MOD($A355-Einstellungen!$C$6,Einstellungen!$C$7)+1)="","-",INDEX(Muster!$C$10:$BF$10,1,MOD($A355-Einstellungen!$C$6,Einstellungen!$C$7)+1)))</f>
        <v>-</v>
      </c>
      <c r="AS355" s="27" t="n">
        <f aca="false">IF($A355="","",IFERROR(VLOOKUP(AR355,Schichten!$A$5:$G$24,6,FALSE()),0))</f>
        <v>0</v>
      </c>
      <c r="AT355" s="27" t="n">
        <f aca="false">IF($A355="","",IFERROR(VLOOKUP(AR355,Schichten!$A$5:$G$24,7,FALSE()),0))</f>
        <v>0</v>
      </c>
      <c r="AU355" s="28" t="str">
        <f aca="false">IF($A355="","",IF(N(AS355)=0,"",$A355+VLOOKUP(AR355,Schichten!$A$5:$G$24,3,FALSE())))</f>
        <v/>
      </c>
      <c r="AV355" s="28" t="str">
        <f aca="false">IF(AU355="","",$A355+VLOOKUP(AR355,Schichten!$A$5:$G$24,4,FALSE())+IF(VLOOKUP(AR355,Schichten!$A$5:$G$24,4,FALSE())&lt;=VLOOKUP(AR355,Schichten!$A$5:$G$24,3,FALSE()),1,0))</f>
        <v/>
      </c>
      <c r="AW355" s="28" t="str">
        <f aca="false">IF($A355="","",IF(N(AS354)&gt;0,AV354,AW354))</f>
        <v/>
      </c>
      <c r="AX355" s="27" t="str">
        <f aca="false">IF(OR(AU355="",AW355=""),"",(AU355-AW355)*24)</f>
        <v/>
      </c>
      <c r="AY355" s="21" t="n">
        <f aca="false">IF($A355="","",IF(N(AS355)&gt;0,N(AY354)+1,0))</f>
        <v>0</v>
      </c>
      <c r="AZ355" s="21" t="n">
        <f aca="false">IF($A355="","",IF(N(AT355)&gt;0,N(AZ354)+1,0))</f>
        <v>0</v>
      </c>
      <c r="BA355" s="21" t="str">
        <f aca="false">IF($A355="","",IF(WEEKDAY($A355,2)&lt;&gt;7,"",IF(AND(OR(AU355="",N(AU355)&gt;=$A355+16/24,N(AV355)&lt;=$A355+6/24),OR(AW355="",N(AW355)&lt;=$A355+6/24)),1,0)))</f>
        <v/>
      </c>
    </row>
    <row r="356" customFormat="false" ht="15" hidden="false" customHeight="false" outlineLevel="0" collapsed="false">
      <c r="A356" s="25" t="n">
        <f aca="false">IF(YEAR(DATE(Einstellungen!$C$4,1,1)+351)=Einstellungen!$C$4,DATE(Einstellungen!$C$4,1,1)+351,"")</f>
        <v>46739</v>
      </c>
      <c r="B356" s="26" t="str">
        <f aca="false">IF($A356="","",CHOOSE(WEEKDAY($A356,2),"Mo","Di","Mi","Do","Fr","Sa","So"))</f>
        <v>Sa</v>
      </c>
      <c r="C356" s="26" t="n">
        <f aca="false">IF($A356="","",MONTH($A356))</f>
        <v>12</v>
      </c>
      <c r="D356" s="26" t="str">
        <f aca="false">IF($A356="","",IF(INDEX(Muster!$C$6:$BF$6,1,MOD($A356-Einstellungen!$C$6,Einstellungen!$C$7)+1)="","-",INDEX(Muster!$C$6:$BF$6,1,MOD($A356-Einstellungen!$C$6,Einstellungen!$C$7)+1)))</f>
        <v>N</v>
      </c>
      <c r="E356" s="27" t="n">
        <f aca="false">IF($A356="","",IFERROR(VLOOKUP(D356,Schichten!$A$5:$G$24,6,FALSE()),0))</f>
        <v>8</v>
      </c>
      <c r="F356" s="27" t="n">
        <f aca="false">IF($A356="","",IFERROR(VLOOKUP(D356,Schichten!$A$5:$G$24,7,FALSE()),0))</f>
        <v>7</v>
      </c>
      <c r="G356" s="28" t="n">
        <f aca="false">IF($A356="","",IF(N(E356)=0,"",$A356+VLOOKUP(D356,Schichten!$A$5:$G$24,3,FALSE())))</f>
        <v>46739.9166666667</v>
      </c>
      <c r="H356" s="28" t="n">
        <f aca="false">IF(G356="","",$A356+VLOOKUP(D356,Schichten!$A$5:$G$24,4,FALSE())+IF(VLOOKUP(D356,Schichten!$A$5:$G$24,4,FALSE())&lt;=VLOOKUP(D356,Schichten!$A$5:$G$24,3,FALSE()),1,0))</f>
        <v>46740.25</v>
      </c>
      <c r="I356" s="28" t="n">
        <f aca="false">IF($A356="","",IF(N(E355)&gt;0,H355,I355))</f>
        <v>46738.9166666667</v>
      </c>
      <c r="J356" s="27" t="n">
        <f aca="false">IF(OR(G356="",I356=""),"",(G356-I356)*24)</f>
        <v>24</v>
      </c>
      <c r="K356" s="21" t="n">
        <f aca="false">IF($A356="","",IF(N(E356)&gt;0,N(K355)+1,0))</f>
        <v>5</v>
      </c>
      <c r="L356" s="21" t="n">
        <f aca="false">IF($A356="","",IF(N(F356)&gt;0,N(L355)+1,0))</f>
        <v>1</v>
      </c>
      <c r="M356" s="21" t="str">
        <f aca="false">IF($A356="","",IF(WEEKDAY($A356,2)&lt;&gt;7,"",IF(AND(OR(G356="",N(G356)&gt;=$A356+16/24,N(H356)&lt;=$A356+6/24),OR(I356="",N(I356)&lt;=$A356+6/24)),1,0)))</f>
        <v/>
      </c>
      <c r="N356" s="26" t="str">
        <f aca="false">IF($A356="","",IF(INDEX(Muster!$C$7:$BF$7,1,MOD($A356-Einstellungen!$C$6,Einstellungen!$C$7)+1)="","-",INDEX(Muster!$C$7:$BF$7,1,MOD($A356-Einstellungen!$C$6,Einstellungen!$C$7)+1)))</f>
        <v>S</v>
      </c>
      <c r="O356" s="27" t="n">
        <f aca="false">IF($A356="","",IFERROR(VLOOKUP(N356,Schichten!$A$5:$G$24,6,FALSE()),0))</f>
        <v>8</v>
      </c>
      <c r="P356" s="27" t="n">
        <f aca="false">IF($A356="","",IFERROR(VLOOKUP(N356,Schichten!$A$5:$G$24,7,FALSE()),0))</f>
        <v>0</v>
      </c>
      <c r="Q356" s="28" t="n">
        <f aca="false">IF($A356="","",IF(N(O356)=0,"",$A356+VLOOKUP(N356,Schichten!$A$5:$G$24,3,FALSE())))</f>
        <v>46739.5833333333</v>
      </c>
      <c r="R356" s="28" t="n">
        <f aca="false">IF(Q356="","",$A356+VLOOKUP(N356,Schichten!$A$5:$G$24,4,FALSE())+IF(VLOOKUP(N356,Schichten!$A$5:$G$24,4,FALSE())&lt;=VLOOKUP(N356,Schichten!$A$5:$G$24,3,FALSE()),1,0))</f>
        <v>46739.9166666667</v>
      </c>
      <c r="S356" s="28" t="n">
        <f aca="false">IF($A356="","",IF(N(O355)&gt;0,R355,S355))</f>
        <v>46738.5833333333</v>
      </c>
      <c r="T356" s="27" t="n">
        <f aca="false">IF(OR(Q356="",S356=""),"",(Q356-S356)*24)</f>
        <v>24</v>
      </c>
      <c r="U356" s="21" t="n">
        <f aca="false">IF($A356="","",IF(N(O356)&gt;0,N(U355)+1,0))</f>
        <v>3</v>
      </c>
      <c r="V356" s="21" t="n">
        <f aca="false">IF($A356="","",IF(N(P356)&gt;0,N(V355)+1,0))</f>
        <v>0</v>
      </c>
      <c r="W356" s="21" t="str">
        <f aca="false">IF($A356="","",IF(WEEKDAY($A356,2)&lt;&gt;7,"",IF(AND(OR(Q356="",N(Q356)&gt;=$A356+16/24,N(R356)&lt;=$A356+6/24),OR(S356="",N(S356)&lt;=$A356+6/24)),1,0)))</f>
        <v/>
      </c>
      <c r="X356" s="26" t="str">
        <f aca="false">IF($A356="","",IF(INDEX(Muster!$C$8:$BF$8,1,MOD($A356-Einstellungen!$C$6,Einstellungen!$C$7)+1)="","-",INDEX(Muster!$C$8:$BF$8,1,MOD($A356-Einstellungen!$C$6,Einstellungen!$C$7)+1)))</f>
        <v>F</v>
      </c>
      <c r="Y356" s="27" t="n">
        <f aca="false">IF($A356="","",IFERROR(VLOOKUP(X356,Schichten!$A$5:$G$24,6,FALSE()),0))</f>
        <v>8</v>
      </c>
      <c r="Z356" s="27" t="n">
        <f aca="false">IF($A356="","",IFERROR(VLOOKUP(X356,Schichten!$A$5:$G$24,7,FALSE()),0))</f>
        <v>0</v>
      </c>
      <c r="AA356" s="28" t="n">
        <f aca="false">IF($A356="","",IF(N(Y356)=0,"",$A356+VLOOKUP(X356,Schichten!$A$5:$G$24,3,FALSE())))</f>
        <v>46739.25</v>
      </c>
      <c r="AB356" s="28" t="n">
        <f aca="false">IF(AA356="","",$A356+VLOOKUP(X356,Schichten!$A$5:$G$24,4,FALSE())+IF(VLOOKUP(X356,Schichten!$A$5:$G$24,4,FALSE())&lt;=VLOOKUP(X356,Schichten!$A$5:$G$24,3,FALSE()),1,0))</f>
        <v>46739.5833333333</v>
      </c>
      <c r="AC356" s="28" t="n">
        <f aca="false">IF($A356="","",IF(N(Y355)&gt;0,AB355,AC355))</f>
        <v>46737.25</v>
      </c>
      <c r="AD356" s="27" t="n">
        <f aca="false">IF(OR(AA356="",AC356=""),"",(AA356-AC356)*24)</f>
        <v>48</v>
      </c>
      <c r="AE356" s="21" t="n">
        <f aca="false">IF($A356="","",IF(N(Y356)&gt;0,N(AE355)+1,0))</f>
        <v>1</v>
      </c>
      <c r="AF356" s="21" t="n">
        <f aca="false">IF($A356="","",IF(N(Z356)&gt;0,N(AF355)+1,0))</f>
        <v>0</v>
      </c>
      <c r="AG356" s="21" t="str">
        <f aca="false">IF($A356="","",IF(WEEKDAY($A356,2)&lt;&gt;7,"",IF(AND(OR(AA356="",N(AA356)&gt;=$A356+16/24,N(AB356)&lt;=$A356+6/24),OR(AC356="",N(AC356)&lt;=$A356+6/24)),1,0)))</f>
        <v/>
      </c>
      <c r="AH356" s="26" t="str">
        <f aca="false">IF($A356="","",IF(INDEX(Muster!$C$9:$BF$9,1,MOD($A356-Einstellungen!$C$6,Einstellungen!$C$7)+1)="","-",INDEX(Muster!$C$9:$BF$9,1,MOD($A356-Einstellungen!$C$6,Einstellungen!$C$7)+1)))</f>
        <v>-</v>
      </c>
      <c r="AI356" s="27" t="n">
        <f aca="false">IF($A356="","",IFERROR(VLOOKUP(AH356,Schichten!$A$5:$G$24,6,FALSE()),0))</f>
        <v>0</v>
      </c>
      <c r="AJ356" s="27" t="n">
        <f aca="false">IF($A356="","",IFERROR(VLOOKUP(AH356,Schichten!$A$5:$G$24,7,FALSE()),0))</f>
        <v>0</v>
      </c>
      <c r="AK356" s="28" t="str">
        <f aca="false">IF($A356="","",IF(N(AI356)=0,"",$A356+VLOOKUP(AH356,Schichten!$A$5:$G$24,3,FALSE())))</f>
        <v/>
      </c>
      <c r="AL356" s="28" t="str">
        <f aca="false">IF(AK356="","",$A356+VLOOKUP(AH356,Schichten!$A$5:$G$24,4,FALSE())+IF(VLOOKUP(AH356,Schichten!$A$5:$G$24,4,FALSE())&lt;=VLOOKUP(AH356,Schichten!$A$5:$G$24,3,FALSE()),1,0))</f>
        <v/>
      </c>
      <c r="AM356" s="28" t="n">
        <f aca="false">IF($A356="","",IF(N(AI355)&gt;0,AL355,AM355))</f>
        <v>46739.25</v>
      </c>
      <c r="AN356" s="27" t="str">
        <f aca="false">IF(OR(AK356="",AM356=""),"",(AK356-AM356)*24)</f>
        <v/>
      </c>
      <c r="AO356" s="21" t="n">
        <f aca="false">IF($A356="","",IF(N(AI356)&gt;0,N(AO355)+1,0))</f>
        <v>0</v>
      </c>
      <c r="AP356" s="21" t="n">
        <f aca="false">IF($A356="","",IF(N(AJ356)&gt;0,N(AP355)+1,0))</f>
        <v>0</v>
      </c>
      <c r="AQ356" s="21" t="str">
        <f aca="false">IF($A356="","",IF(WEEKDAY($A356,2)&lt;&gt;7,"",IF(AND(OR(AK356="",N(AK356)&gt;=$A356+16/24,N(AL356)&lt;=$A356+6/24),OR(AM356="",N(AM356)&lt;=$A356+6/24)),1,0)))</f>
        <v/>
      </c>
      <c r="AR356" s="26" t="str">
        <f aca="false">IF($A356="","",IF(INDEX(Muster!$C$10:$BF$10,1,MOD($A356-Einstellungen!$C$6,Einstellungen!$C$7)+1)="","-",INDEX(Muster!$C$10:$BF$10,1,MOD($A356-Einstellungen!$C$6,Einstellungen!$C$7)+1)))</f>
        <v>-</v>
      </c>
      <c r="AS356" s="27" t="n">
        <f aca="false">IF($A356="","",IFERROR(VLOOKUP(AR356,Schichten!$A$5:$G$24,6,FALSE()),0))</f>
        <v>0</v>
      </c>
      <c r="AT356" s="27" t="n">
        <f aca="false">IF($A356="","",IFERROR(VLOOKUP(AR356,Schichten!$A$5:$G$24,7,FALSE()),0))</f>
        <v>0</v>
      </c>
      <c r="AU356" s="28" t="str">
        <f aca="false">IF($A356="","",IF(N(AS356)=0,"",$A356+VLOOKUP(AR356,Schichten!$A$5:$G$24,3,FALSE())))</f>
        <v/>
      </c>
      <c r="AV356" s="28" t="str">
        <f aca="false">IF(AU356="","",$A356+VLOOKUP(AR356,Schichten!$A$5:$G$24,4,FALSE())+IF(VLOOKUP(AR356,Schichten!$A$5:$G$24,4,FALSE())&lt;=VLOOKUP(AR356,Schichten!$A$5:$G$24,3,FALSE()),1,0))</f>
        <v/>
      </c>
      <c r="AW356" s="28" t="str">
        <f aca="false">IF($A356="","",IF(N(AS355)&gt;0,AV355,AW355))</f>
        <v/>
      </c>
      <c r="AX356" s="27" t="str">
        <f aca="false">IF(OR(AU356="",AW356=""),"",(AU356-AW356)*24)</f>
        <v/>
      </c>
      <c r="AY356" s="21" t="n">
        <f aca="false">IF($A356="","",IF(N(AS356)&gt;0,N(AY355)+1,0))</f>
        <v>0</v>
      </c>
      <c r="AZ356" s="21" t="n">
        <f aca="false">IF($A356="","",IF(N(AT356)&gt;0,N(AZ355)+1,0))</f>
        <v>0</v>
      </c>
      <c r="BA356" s="21" t="str">
        <f aca="false">IF($A356="","",IF(WEEKDAY($A356,2)&lt;&gt;7,"",IF(AND(OR(AU356="",N(AU356)&gt;=$A356+16/24,N(AV356)&lt;=$A356+6/24),OR(AW356="",N(AW356)&lt;=$A356+6/24)),1,0)))</f>
        <v/>
      </c>
    </row>
    <row r="357" customFormat="false" ht="15" hidden="false" customHeight="false" outlineLevel="0" collapsed="false">
      <c r="A357" s="25" t="n">
        <f aca="false">IF(YEAR(DATE(Einstellungen!$C$4,1,1)+352)=Einstellungen!$C$4,DATE(Einstellungen!$C$4,1,1)+352,"")</f>
        <v>46740</v>
      </c>
      <c r="B357" s="26" t="str">
        <f aca="false">IF($A357="","",CHOOSE(WEEKDAY($A357,2),"Mo","Di","Mi","Do","Fr","Sa","So"))</f>
        <v>So</v>
      </c>
      <c r="C357" s="26" t="n">
        <f aca="false">IF($A357="","",MONTH($A357))</f>
        <v>12</v>
      </c>
      <c r="D357" s="26" t="str">
        <f aca="false">IF($A357="","",IF(INDEX(Muster!$C$6:$BF$6,1,MOD($A357-Einstellungen!$C$6,Einstellungen!$C$7)+1)="","-",INDEX(Muster!$C$6:$BF$6,1,MOD($A357-Einstellungen!$C$6,Einstellungen!$C$7)+1)))</f>
        <v>N</v>
      </c>
      <c r="E357" s="27" t="n">
        <f aca="false">IF($A357="","",IFERROR(VLOOKUP(D357,Schichten!$A$5:$G$24,6,FALSE()),0))</f>
        <v>8</v>
      </c>
      <c r="F357" s="27" t="n">
        <f aca="false">IF($A357="","",IFERROR(VLOOKUP(D357,Schichten!$A$5:$G$24,7,FALSE()),0))</f>
        <v>7</v>
      </c>
      <c r="G357" s="28" t="n">
        <f aca="false">IF($A357="","",IF(N(E357)=0,"",$A357+VLOOKUP(D357,Schichten!$A$5:$G$24,3,FALSE())))</f>
        <v>46740.9166666667</v>
      </c>
      <c r="H357" s="28" t="n">
        <f aca="false">IF(G357="","",$A357+VLOOKUP(D357,Schichten!$A$5:$G$24,4,FALSE())+IF(VLOOKUP(D357,Schichten!$A$5:$G$24,4,FALSE())&lt;=VLOOKUP(D357,Schichten!$A$5:$G$24,3,FALSE()),1,0))</f>
        <v>46741.25</v>
      </c>
      <c r="I357" s="28" t="n">
        <f aca="false">IF($A357="","",IF(N(E356)&gt;0,H356,I356))</f>
        <v>46740.25</v>
      </c>
      <c r="J357" s="27" t="n">
        <f aca="false">IF(OR(G357="",I357=""),"",(G357-I357)*24)</f>
        <v>16</v>
      </c>
      <c r="K357" s="21" t="n">
        <f aca="false">IF($A357="","",IF(N(E357)&gt;0,N(K356)+1,0))</f>
        <v>6</v>
      </c>
      <c r="L357" s="21" t="n">
        <f aca="false">IF($A357="","",IF(N(F357)&gt;0,N(L356)+1,0))</f>
        <v>2</v>
      </c>
      <c r="M357" s="21" t="n">
        <f aca="false">IF($A357="","",IF(WEEKDAY($A357,2)&lt;&gt;7,"",IF(AND(OR(G357="",N(G357)&gt;=$A357+16/24,N(H357)&lt;=$A357+6/24),OR(I357="",N(I357)&lt;=$A357+6/24)),1,0)))</f>
        <v>1</v>
      </c>
      <c r="N357" s="26" t="str">
        <f aca="false">IF($A357="","",IF(INDEX(Muster!$C$7:$BF$7,1,MOD($A357-Einstellungen!$C$6,Einstellungen!$C$7)+1)="","-",INDEX(Muster!$C$7:$BF$7,1,MOD($A357-Einstellungen!$C$6,Einstellungen!$C$7)+1)))</f>
        <v>S</v>
      </c>
      <c r="O357" s="27" t="n">
        <f aca="false">IF($A357="","",IFERROR(VLOOKUP(N357,Schichten!$A$5:$G$24,6,FALSE()),0))</f>
        <v>8</v>
      </c>
      <c r="P357" s="27" t="n">
        <f aca="false">IF($A357="","",IFERROR(VLOOKUP(N357,Schichten!$A$5:$G$24,7,FALSE()),0))</f>
        <v>0</v>
      </c>
      <c r="Q357" s="28" t="n">
        <f aca="false">IF($A357="","",IF(N(O357)=0,"",$A357+VLOOKUP(N357,Schichten!$A$5:$G$24,3,FALSE())))</f>
        <v>46740.5833333333</v>
      </c>
      <c r="R357" s="28" t="n">
        <f aca="false">IF(Q357="","",$A357+VLOOKUP(N357,Schichten!$A$5:$G$24,4,FALSE())+IF(VLOOKUP(N357,Schichten!$A$5:$G$24,4,FALSE())&lt;=VLOOKUP(N357,Schichten!$A$5:$G$24,3,FALSE()),1,0))</f>
        <v>46740.9166666667</v>
      </c>
      <c r="S357" s="28" t="n">
        <f aca="false">IF($A357="","",IF(N(O356)&gt;0,R356,S356))</f>
        <v>46739.9166666667</v>
      </c>
      <c r="T357" s="27" t="n">
        <f aca="false">IF(OR(Q357="",S357=""),"",(Q357-S357)*24)</f>
        <v>16</v>
      </c>
      <c r="U357" s="21" t="n">
        <f aca="false">IF($A357="","",IF(N(O357)&gt;0,N(U356)+1,0))</f>
        <v>4</v>
      </c>
      <c r="V357" s="21" t="n">
        <f aca="false">IF($A357="","",IF(N(P357)&gt;0,N(V356)+1,0))</f>
        <v>0</v>
      </c>
      <c r="W357" s="21" t="n">
        <f aca="false">IF($A357="","",IF(WEEKDAY($A357,2)&lt;&gt;7,"",IF(AND(OR(Q357="",N(Q357)&gt;=$A357+16/24,N(R357)&lt;=$A357+6/24),OR(S357="",N(S357)&lt;=$A357+6/24)),1,0)))</f>
        <v>0</v>
      </c>
      <c r="X357" s="26" t="str">
        <f aca="false">IF($A357="","",IF(INDEX(Muster!$C$8:$BF$8,1,MOD($A357-Einstellungen!$C$6,Einstellungen!$C$7)+1)="","-",INDEX(Muster!$C$8:$BF$8,1,MOD($A357-Einstellungen!$C$6,Einstellungen!$C$7)+1)))</f>
        <v>F</v>
      </c>
      <c r="Y357" s="27" t="n">
        <f aca="false">IF($A357="","",IFERROR(VLOOKUP(X357,Schichten!$A$5:$G$24,6,FALSE()),0))</f>
        <v>8</v>
      </c>
      <c r="Z357" s="27" t="n">
        <f aca="false">IF($A357="","",IFERROR(VLOOKUP(X357,Schichten!$A$5:$G$24,7,FALSE()),0))</f>
        <v>0</v>
      </c>
      <c r="AA357" s="28" t="n">
        <f aca="false">IF($A357="","",IF(N(Y357)=0,"",$A357+VLOOKUP(X357,Schichten!$A$5:$G$24,3,FALSE())))</f>
        <v>46740.25</v>
      </c>
      <c r="AB357" s="28" t="n">
        <f aca="false">IF(AA357="","",$A357+VLOOKUP(X357,Schichten!$A$5:$G$24,4,FALSE())+IF(VLOOKUP(X357,Schichten!$A$5:$G$24,4,FALSE())&lt;=VLOOKUP(X357,Schichten!$A$5:$G$24,3,FALSE()),1,0))</f>
        <v>46740.5833333333</v>
      </c>
      <c r="AC357" s="28" t="n">
        <f aca="false">IF($A357="","",IF(N(Y356)&gt;0,AB356,AC356))</f>
        <v>46739.5833333333</v>
      </c>
      <c r="AD357" s="27" t="n">
        <f aca="false">IF(OR(AA357="",AC357=""),"",(AA357-AC357)*24)</f>
        <v>16</v>
      </c>
      <c r="AE357" s="21" t="n">
        <f aca="false">IF($A357="","",IF(N(Y357)&gt;0,N(AE356)+1,0))</f>
        <v>2</v>
      </c>
      <c r="AF357" s="21" t="n">
        <f aca="false">IF($A357="","",IF(N(Z357)&gt;0,N(AF356)+1,0))</f>
        <v>0</v>
      </c>
      <c r="AG357" s="21" t="n">
        <f aca="false">IF($A357="","",IF(WEEKDAY($A357,2)&lt;&gt;7,"",IF(AND(OR(AA357="",N(AA357)&gt;=$A357+16/24,N(AB357)&lt;=$A357+6/24),OR(AC357="",N(AC357)&lt;=$A357+6/24)),1,0)))</f>
        <v>0</v>
      </c>
      <c r="AH357" s="26" t="str">
        <f aca="false">IF($A357="","",IF(INDEX(Muster!$C$9:$BF$9,1,MOD($A357-Einstellungen!$C$6,Einstellungen!$C$7)+1)="","-",INDEX(Muster!$C$9:$BF$9,1,MOD($A357-Einstellungen!$C$6,Einstellungen!$C$7)+1)))</f>
        <v>-</v>
      </c>
      <c r="AI357" s="27" t="n">
        <f aca="false">IF($A357="","",IFERROR(VLOOKUP(AH357,Schichten!$A$5:$G$24,6,FALSE()),0))</f>
        <v>0</v>
      </c>
      <c r="AJ357" s="27" t="n">
        <f aca="false">IF($A357="","",IFERROR(VLOOKUP(AH357,Schichten!$A$5:$G$24,7,FALSE()),0))</f>
        <v>0</v>
      </c>
      <c r="AK357" s="28" t="str">
        <f aca="false">IF($A357="","",IF(N(AI357)=0,"",$A357+VLOOKUP(AH357,Schichten!$A$5:$G$24,3,FALSE())))</f>
        <v/>
      </c>
      <c r="AL357" s="28" t="str">
        <f aca="false">IF(AK357="","",$A357+VLOOKUP(AH357,Schichten!$A$5:$G$24,4,FALSE())+IF(VLOOKUP(AH357,Schichten!$A$5:$G$24,4,FALSE())&lt;=VLOOKUP(AH357,Schichten!$A$5:$G$24,3,FALSE()),1,0))</f>
        <v/>
      </c>
      <c r="AM357" s="28" t="n">
        <f aca="false">IF($A357="","",IF(N(AI356)&gt;0,AL356,AM356))</f>
        <v>46739.25</v>
      </c>
      <c r="AN357" s="27" t="str">
        <f aca="false">IF(OR(AK357="",AM357=""),"",(AK357-AM357)*24)</f>
        <v/>
      </c>
      <c r="AO357" s="21" t="n">
        <f aca="false">IF($A357="","",IF(N(AI357)&gt;0,N(AO356)+1,0))</f>
        <v>0</v>
      </c>
      <c r="AP357" s="21" t="n">
        <f aca="false">IF($A357="","",IF(N(AJ357)&gt;0,N(AP356)+1,0))</f>
        <v>0</v>
      </c>
      <c r="AQ357" s="21" t="n">
        <f aca="false">IF($A357="","",IF(WEEKDAY($A357,2)&lt;&gt;7,"",IF(AND(OR(AK357="",N(AK357)&gt;=$A357+16/24,N(AL357)&lt;=$A357+6/24),OR(AM357="",N(AM357)&lt;=$A357+6/24)),1,0)))</f>
        <v>1</v>
      </c>
      <c r="AR357" s="26" t="str">
        <f aca="false">IF($A357="","",IF(INDEX(Muster!$C$10:$BF$10,1,MOD($A357-Einstellungen!$C$6,Einstellungen!$C$7)+1)="","-",INDEX(Muster!$C$10:$BF$10,1,MOD($A357-Einstellungen!$C$6,Einstellungen!$C$7)+1)))</f>
        <v>-</v>
      </c>
      <c r="AS357" s="27" t="n">
        <f aca="false">IF($A357="","",IFERROR(VLOOKUP(AR357,Schichten!$A$5:$G$24,6,FALSE()),0))</f>
        <v>0</v>
      </c>
      <c r="AT357" s="27" t="n">
        <f aca="false">IF($A357="","",IFERROR(VLOOKUP(AR357,Schichten!$A$5:$G$24,7,FALSE()),0))</f>
        <v>0</v>
      </c>
      <c r="AU357" s="28" t="str">
        <f aca="false">IF($A357="","",IF(N(AS357)=0,"",$A357+VLOOKUP(AR357,Schichten!$A$5:$G$24,3,FALSE())))</f>
        <v/>
      </c>
      <c r="AV357" s="28" t="str">
        <f aca="false">IF(AU357="","",$A357+VLOOKUP(AR357,Schichten!$A$5:$G$24,4,FALSE())+IF(VLOOKUP(AR357,Schichten!$A$5:$G$24,4,FALSE())&lt;=VLOOKUP(AR357,Schichten!$A$5:$G$24,3,FALSE()),1,0))</f>
        <v/>
      </c>
      <c r="AW357" s="28" t="str">
        <f aca="false">IF($A357="","",IF(N(AS356)&gt;0,AV356,AW356))</f>
        <v/>
      </c>
      <c r="AX357" s="27" t="str">
        <f aca="false">IF(OR(AU357="",AW357=""),"",(AU357-AW357)*24)</f>
        <v/>
      </c>
      <c r="AY357" s="21" t="n">
        <f aca="false">IF($A357="","",IF(N(AS357)&gt;0,N(AY356)+1,0))</f>
        <v>0</v>
      </c>
      <c r="AZ357" s="21" t="n">
        <f aca="false">IF($A357="","",IF(N(AT357)&gt;0,N(AZ356)+1,0))</f>
        <v>0</v>
      </c>
      <c r="BA357" s="21" t="n">
        <f aca="false">IF($A357="","",IF(WEEKDAY($A357,2)&lt;&gt;7,"",IF(AND(OR(AU357="",N(AU357)&gt;=$A357+16/24,N(AV357)&lt;=$A357+6/24),OR(AW357="",N(AW357)&lt;=$A357+6/24)),1,0)))</f>
        <v>1</v>
      </c>
    </row>
    <row r="358" customFormat="false" ht="15" hidden="false" customHeight="false" outlineLevel="0" collapsed="false">
      <c r="A358" s="25" t="n">
        <f aca="false">IF(YEAR(DATE(Einstellungen!$C$4,1,1)+353)=Einstellungen!$C$4,DATE(Einstellungen!$C$4,1,1)+353,"")</f>
        <v>46741</v>
      </c>
      <c r="B358" s="26" t="str">
        <f aca="false">IF($A358="","",CHOOSE(WEEKDAY($A358,2),"Mo","Di","Mi","Do","Fr","Sa","So"))</f>
        <v>Mo</v>
      </c>
      <c r="C358" s="26" t="n">
        <f aca="false">IF($A358="","",MONTH($A358))</f>
        <v>12</v>
      </c>
      <c r="D358" s="26" t="str">
        <f aca="false">IF($A358="","",IF(INDEX(Muster!$C$6:$BF$6,1,MOD($A358-Einstellungen!$C$6,Einstellungen!$C$7)+1)="","-",INDEX(Muster!$C$6:$BF$6,1,MOD($A358-Einstellungen!$C$6,Einstellungen!$C$7)+1)))</f>
        <v>-</v>
      </c>
      <c r="E358" s="27" t="n">
        <f aca="false">IF($A358="","",IFERROR(VLOOKUP(D358,Schichten!$A$5:$G$24,6,FALSE()),0))</f>
        <v>0</v>
      </c>
      <c r="F358" s="27" t="n">
        <f aca="false">IF($A358="","",IFERROR(VLOOKUP(D358,Schichten!$A$5:$G$24,7,FALSE()),0))</f>
        <v>0</v>
      </c>
      <c r="G358" s="28" t="str">
        <f aca="false">IF($A358="","",IF(N(E358)=0,"",$A358+VLOOKUP(D358,Schichten!$A$5:$G$24,3,FALSE())))</f>
        <v/>
      </c>
      <c r="H358" s="28" t="str">
        <f aca="false">IF(G358="","",$A358+VLOOKUP(D358,Schichten!$A$5:$G$24,4,FALSE())+IF(VLOOKUP(D358,Schichten!$A$5:$G$24,4,FALSE())&lt;=VLOOKUP(D358,Schichten!$A$5:$G$24,3,FALSE()),1,0))</f>
        <v/>
      </c>
      <c r="I358" s="28" t="n">
        <f aca="false">IF($A358="","",IF(N(E357)&gt;0,H357,I357))</f>
        <v>46741.25</v>
      </c>
      <c r="J358" s="27" t="str">
        <f aca="false">IF(OR(G358="",I358=""),"",(G358-I358)*24)</f>
        <v/>
      </c>
      <c r="K358" s="21" t="n">
        <f aca="false">IF($A358="","",IF(N(E358)&gt;0,N(K357)+1,0))</f>
        <v>0</v>
      </c>
      <c r="L358" s="21" t="n">
        <f aca="false">IF($A358="","",IF(N(F358)&gt;0,N(L357)+1,0))</f>
        <v>0</v>
      </c>
      <c r="M358" s="21" t="str">
        <f aca="false">IF($A358="","",IF(WEEKDAY($A358,2)&lt;&gt;7,"",IF(AND(OR(G358="",N(G358)&gt;=$A358+16/24,N(H358)&lt;=$A358+6/24),OR(I358="",N(I358)&lt;=$A358+6/24)),1,0)))</f>
        <v/>
      </c>
      <c r="N358" s="26" t="str">
        <f aca="false">IF($A358="","",IF(INDEX(Muster!$C$7:$BF$7,1,MOD($A358-Einstellungen!$C$6,Einstellungen!$C$7)+1)="","-",INDEX(Muster!$C$7:$BF$7,1,MOD($A358-Einstellungen!$C$6,Einstellungen!$C$7)+1)))</f>
        <v>N</v>
      </c>
      <c r="O358" s="27" t="n">
        <f aca="false">IF($A358="","",IFERROR(VLOOKUP(N358,Schichten!$A$5:$G$24,6,FALSE()),0))</f>
        <v>8</v>
      </c>
      <c r="P358" s="27" t="n">
        <f aca="false">IF($A358="","",IFERROR(VLOOKUP(N358,Schichten!$A$5:$G$24,7,FALSE()),0))</f>
        <v>7</v>
      </c>
      <c r="Q358" s="28" t="n">
        <f aca="false">IF($A358="","",IF(N(O358)=0,"",$A358+VLOOKUP(N358,Schichten!$A$5:$G$24,3,FALSE())))</f>
        <v>46741.9166666667</v>
      </c>
      <c r="R358" s="28" t="n">
        <f aca="false">IF(Q358="","",$A358+VLOOKUP(N358,Schichten!$A$5:$G$24,4,FALSE())+IF(VLOOKUP(N358,Schichten!$A$5:$G$24,4,FALSE())&lt;=VLOOKUP(N358,Schichten!$A$5:$G$24,3,FALSE()),1,0))</f>
        <v>46742.25</v>
      </c>
      <c r="S358" s="28" t="n">
        <f aca="false">IF($A358="","",IF(N(O357)&gt;0,R357,S357))</f>
        <v>46740.9166666667</v>
      </c>
      <c r="T358" s="27" t="n">
        <f aca="false">IF(OR(Q358="",S358=""),"",(Q358-S358)*24)</f>
        <v>24</v>
      </c>
      <c r="U358" s="21" t="n">
        <f aca="false">IF($A358="","",IF(N(O358)&gt;0,N(U357)+1,0))</f>
        <v>5</v>
      </c>
      <c r="V358" s="21" t="n">
        <f aca="false">IF($A358="","",IF(N(P358)&gt;0,N(V357)+1,0))</f>
        <v>1</v>
      </c>
      <c r="W358" s="21" t="str">
        <f aca="false">IF($A358="","",IF(WEEKDAY($A358,2)&lt;&gt;7,"",IF(AND(OR(Q358="",N(Q358)&gt;=$A358+16/24,N(R358)&lt;=$A358+6/24),OR(S358="",N(S358)&lt;=$A358+6/24)),1,0)))</f>
        <v/>
      </c>
      <c r="X358" s="26" t="str">
        <f aca="false">IF($A358="","",IF(INDEX(Muster!$C$8:$BF$8,1,MOD($A358-Einstellungen!$C$6,Einstellungen!$C$7)+1)="","-",INDEX(Muster!$C$8:$BF$8,1,MOD($A358-Einstellungen!$C$6,Einstellungen!$C$7)+1)))</f>
        <v>S</v>
      </c>
      <c r="Y358" s="27" t="n">
        <f aca="false">IF($A358="","",IFERROR(VLOOKUP(X358,Schichten!$A$5:$G$24,6,FALSE()),0))</f>
        <v>8</v>
      </c>
      <c r="Z358" s="27" t="n">
        <f aca="false">IF($A358="","",IFERROR(VLOOKUP(X358,Schichten!$A$5:$G$24,7,FALSE()),0))</f>
        <v>0</v>
      </c>
      <c r="AA358" s="28" t="n">
        <f aca="false">IF($A358="","",IF(N(Y358)=0,"",$A358+VLOOKUP(X358,Schichten!$A$5:$G$24,3,FALSE())))</f>
        <v>46741.5833333333</v>
      </c>
      <c r="AB358" s="28" t="n">
        <f aca="false">IF(AA358="","",$A358+VLOOKUP(X358,Schichten!$A$5:$G$24,4,FALSE())+IF(VLOOKUP(X358,Schichten!$A$5:$G$24,4,FALSE())&lt;=VLOOKUP(X358,Schichten!$A$5:$G$24,3,FALSE()),1,0))</f>
        <v>46741.9166666667</v>
      </c>
      <c r="AC358" s="28" t="n">
        <f aca="false">IF($A358="","",IF(N(Y357)&gt;0,AB357,AC357))</f>
        <v>46740.5833333333</v>
      </c>
      <c r="AD358" s="27" t="n">
        <f aca="false">IF(OR(AA358="",AC358=""),"",(AA358-AC358)*24)</f>
        <v>24</v>
      </c>
      <c r="AE358" s="21" t="n">
        <f aca="false">IF($A358="","",IF(N(Y358)&gt;0,N(AE357)+1,0))</f>
        <v>3</v>
      </c>
      <c r="AF358" s="21" t="n">
        <f aca="false">IF($A358="","",IF(N(Z358)&gt;0,N(AF357)+1,0))</f>
        <v>0</v>
      </c>
      <c r="AG358" s="21" t="str">
        <f aca="false">IF($A358="","",IF(WEEKDAY($A358,2)&lt;&gt;7,"",IF(AND(OR(AA358="",N(AA358)&gt;=$A358+16/24,N(AB358)&lt;=$A358+6/24),OR(AC358="",N(AC358)&lt;=$A358+6/24)),1,0)))</f>
        <v/>
      </c>
      <c r="AH358" s="26" t="str">
        <f aca="false">IF($A358="","",IF(INDEX(Muster!$C$9:$BF$9,1,MOD($A358-Einstellungen!$C$6,Einstellungen!$C$7)+1)="","-",INDEX(Muster!$C$9:$BF$9,1,MOD($A358-Einstellungen!$C$6,Einstellungen!$C$7)+1)))</f>
        <v>F</v>
      </c>
      <c r="AI358" s="27" t="n">
        <f aca="false">IF($A358="","",IFERROR(VLOOKUP(AH358,Schichten!$A$5:$G$24,6,FALSE()),0))</f>
        <v>8</v>
      </c>
      <c r="AJ358" s="27" t="n">
        <f aca="false">IF($A358="","",IFERROR(VLOOKUP(AH358,Schichten!$A$5:$G$24,7,FALSE()),0))</f>
        <v>0</v>
      </c>
      <c r="AK358" s="28" t="n">
        <f aca="false">IF($A358="","",IF(N(AI358)=0,"",$A358+VLOOKUP(AH358,Schichten!$A$5:$G$24,3,FALSE())))</f>
        <v>46741.25</v>
      </c>
      <c r="AL358" s="28" t="n">
        <f aca="false">IF(AK358="","",$A358+VLOOKUP(AH358,Schichten!$A$5:$G$24,4,FALSE())+IF(VLOOKUP(AH358,Schichten!$A$5:$G$24,4,FALSE())&lt;=VLOOKUP(AH358,Schichten!$A$5:$G$24,3,FALSE()),1,0))</f>
        <v>46741.5833333333</v>
      </c>
      <c r="AM358" s="28" t="n">
        <f aca="false">IF($A358="","",IF(N(AI357)&gt;0,AL357,AM357))</f>
        <v>46739.25</v>
      </c>
      <c r="AN358" s="27" t="n">
        <f aca="false">IF(OR(AK358="",AM358=""),"",(AK358-AM358)*24)</f>
        <v>48</v>
      </c>
      <c r="AO358" s="21" t="n">
        <f aca="false">IF($A358="","",IF(N(AI358)&gt;0,N(AO357)+1,0))</f>
        <v>1</v>
      </c>
      <c r="AP358" s="21" t="n">
        <f aca="false">IF($A358="","",IF(N(AJ358)&gt;0,N(AP357)+1,0))</f>
        <v>0</v>
      </c>
      <c r="AQ358" s="21" t="str">
        <f aca="false">IF($A358="","",IF(WEEKDAY($A358,2)&lt;&gt;7,"",IF(AND(OR(AK358="",N(AK358)&gt;=$A358+16/24,N(AL358)&lt;=$A358+6/24),OR(AM358="",N(AM358)&lt;=$A358+6/24)),1,0)))</f>
        <v/>
      </c>
      <c r="AR358" s="26" t="str">
        <f aca="false">IF($A358="","",IF(INDEX(Muster!$C$10:$BF$10,1,MOD($A358-Einstellungen!$C$6,Einstellungen!$C$7)+1)="","-",INDEX(Muster!$C$10:$BF$10,1,MOD($A358-Einstellungen!$C$6,Einstellungen!$C$7)+1)))</f>
        <v>-</v>
      </c>
      <c r="AS358" s="27" t="n">
        <f aca="false">IF($A358="","",IFERROR(VLOOKUP(AR358,Schichten!$A$5:$G$24,6,FALSE()),0))</f>
        <v>0</v>
      </c>
      <c r="AT358" s="27" t="n">
        <f aca="false">IF($A358="","",IFERROR(VLOOKUP(AR358,Schichten!$A$5:$G$24,7,FALSE()),0))</f>
        <v>0</v>
      </c>
      <c r="AU358" s="28" t="str">
        <f aca="false">IF($A358="","",IF(N(AS358)=0,"",$A358+VLOOKUP(AR358,Schichten!$A$5:$G$24,3,FALSE())))</f>
        <v/>
      </c>
      <c r="AV358" s="28" t="str">
        <f aca="false">IF(AU358="","",$A358+VLOOKUP(AR358,Schichten!$A$5:$G$24,4,FALSE())+IF(VLOOKUP(AR358,Schichten!$A$5:$G$24,4,FALSE())&lt;=VLOOKUP(AR358,Schichten!$A$5:$G$24,3,FALSE()),1,0))</f>
        <v/>
      </c>
      <c r="AW358" s="28" t="str">
        <f aca="false">IF($A358="","",IF(N(AS357)&gt;0,AV357,AW357))</f>
        <v/>
      </c>
      <c r="AX358" s="27" t="str">
        <f aca="false">IF(OR(AU358="",AW358=""),"",(AU358-AW358)*24)</f>
        <v/>
      </c>
      <c r="AY358" s="21" t="n">
        <f aca="false">IF($A358="","",IF(N(AS358)&gt;0,N(AY357)+1,0))</f>
        <v>0</v>
      </c>
      <c r="AZ358" s="21" t="n">
        <f aca="false">IF($A358="","",IF(N(AT358)&gt;0,N(AZ357)+1,0))</f>
        <v>0</v>
      </c>
      <c r="BA358" s="21" t="str">
        <f aca="false">IF($A358="","",IF(WEEKDAY($A358,2)&lt;&gt;7,"",IF(AND(OR(AU358="",N(AU358)&gt;=$A358+16/24,N(AV358)&lt;=$A358+6/24),OR(AW358="",N(AW358)&lt;=$A358+6/24)),1,0)))</f>
        <v/>
      </c>
    </row>
    <row r="359" customFormat="false" ht="15" hidden="false" customHeight="false" outlineLevel="0" collapsed="false">
      <c r="A359" s="25" t="n">
        <f aca="false">IF(YEAR(DATE(Einstellungen!$C$4,1,1)+354)=Einstellungen!$C$4,DATE(Einstellungen!$C$4,1,1)+354,"")</f>
        <v>46742</v>
      </c>
      <c r="B359" s="26" t="str">
        <f aca="false">IF($A359="","",CHOOSE(WEEKDAY($A359,2),"Mo","Di","Mi","Do","Fr","Sa","So"))</f>
        <v>Di</v>
      </c>
      <c r="C359" s="26" t="n">
        <f aca="false">IF($A359="","",MONTH($A359))</f>
        <v>12</v>
      </c>
      <c r="D359" s="26" t="str">
        <f aca="false">IF($A359="","",IF(INDEX(Muster!$C$6:$BF$6,1,MOD($A359-Einstellungen!$C$6,Einstellungen!$C$7)+1)="","-",INDEX(Muster!$C$6:$BF$6,1,MOD($A359-Einstellungen!$C$6,Einstellungen!$C$7)+1)))</f>
        <v>-</v>
      </c>
      <c r="E359" s="27" t="n">
        <f aca="false">IF($A359="","",IFERROR(VLOOKUP(D359,Schichten!$A$5:$G$24,6,FALSE()),0))</f>
        <v>0</v>
      </c>
      <c r="F359" s="27" t="n">
        <f aca="false">IF($A359="","",IFERROR(VLOOKUP(D359,Schichten!$A$5:$G$24,7,FALSE()),0))</f>
        <v>0</v>
      </c>
      <c r="G359" s="28" t="str">
        <f aca="false">IF($A359="","",IF(N(E359)=0,"",$A359+VLOOKUP(D359,Schichten!$A$5:$G$24,3,FALSE())))</f>
        <v/>
      </c>
      <c r="H359" s="28" t="str">
        <f aca="false">IF(G359="","",$A359+VLOOKUP(D359,Schichten!$A$5:$G$24,4,FALSE())+IF(VLOOKUP(D359,Schichten!$A$5:$G$24,4,FALSE())&lt;=VLOOKUP(D359,Schichten!$A$5:$G$24,3,FALSE()),1,0))</f>
        <v/>
      </c>
      <c r="I359" s="28" t="n">
        <f aca="false">IF($A359="","",IF(N(E358)&gt;0,H358,I358))</f>
        <v>46741.25</v>
      </c>
      <c r="J359" s="27" t="str">
        <f aca="false">IF(OR(G359="",I359=""),"",(G359-I359)*24)</f>
        <v/>
      </c>
      <c r="K359" s="21" t="n">
        <f aca="false">IF($A359="","",IF(N(E359)&gt;0,N(K358)+1,0))</f>
        <v>0</v>
      </c>
      <c r="L359" s="21" t="n">
        <f aca="false">IF($A359="","",IF(N(F359)&gt;0,N(L358)+1,0))</f>
        <v>0</v>
      </c>
      <c r="M359" s="21" t="str">
        <f aca="false">IF($A359="","",IF(WEEKDAY($A359,2)&lt;&gt;7,"",IF(AND(OR(G359="",N(G359)&gt;=$A359+16/24,N(H359)&lt;=$A359+6/24),OR(I359="",N(I359)&lt;=$A359+6/24)),1,0)))</f>
        <v/>
      </c>
      <c r="N359" s="26" t="str">
        <f aca="false">IF($A359="","",IF(INDEX(Muster!$C$7:$BF$7,1,MOD($A359-Einstellungen!$C$6,Einstellungen!$C$7)+1)="","-",INDEX(Muster!$C$7:$BF$7,1,MOD($A359-Einstellungen!$C$6,Einstellungen!$C$7)+1)))</f>
        <v>N</v>
      </c>
      <c r="O359" s="27" t="n">
        <f aca="false">IF($A359="","",IFERROR(VLOOKUP(N359,Schichten!$A$5:$G$24,6,FALSE()),0))</f>
        <v>8</v>
      </c>
      <c r="P359" s="27" t="n">
        <f aca="false">IF($A359="","",IFERROR(VLOOKUP(N359,Schichten!$A$5:$G$24,7,FALSE()),0))</f>
        <v>7</v>
      </c>
      <c r="Q359" s="28" t="n">
        <f aca="false">IF($A359="","",IF(N(O359)=0,"",$A359+VLOOKUP(N359,Schichten!$A$5:$G$24,3,FALSE())))</f>
        <v>46742.9166666667</v>
      </c>
      <c r="R359" s="28" t="n">
        <f aca="false">IF(Q359="","",$A359+VLOOKUP(N359,Schichten!$A$5:$G$24,4,FALSE())+IF(VLOOKUP(N359,Schichten!$A$5:$G$24,4,FALSE())&lt;=VLOOKUP(N359,Schichten!$A$5:$G$24,3,FALSE()),1,0))</f>
        <v>46743.25</v>
      </c>
      <c r="S359" s="28" t="n">
        <f aca="false">IF($A359="","",IF(N(O358)&gt;0,R358,S358))</f>
        <v>46742.25</v>
      </c>
      <c r="T359" s="27" t="n">
        <f aca="false">IF(OR(Q359="",S359=""),"",(Q359-S359)*24)</f>
        <v>16</v>
      </c>
      <c r="U359" s="21" t="n">
        <f aca="false">IF($A359="","",IF(N(O359)&gt;0,N(U358)+1,0))</f>
        <v>6</v>
      </c>
      <c r="V359" s="21" t="n">
        <f aca="false">IF($A359="","",IF(N(P359)&gt;0,N(V358)+1,0))</f>
        <v>2</v>
      </c>
      <c r="W359" s="21" t="str">
        <f aca="false">IF($A359="","",IF(WEEKDAY($A359,2)&lt;&gt;7,"",IF(AND(OR(Q359="",N(Q359)&gt;=$A359+16/24,N(R359)&lt;=$A359+6/24),OR(S359="",N(S359)&lt;=$A359+6/24)),1,0)))</f>
        <v/>
      </c>
      <c r="X359" s="26" t="str">
        <f aca="false">IF($A359="","",IF(INDEX(Muster!$C$8:$BF$8,1,MOD($A359-Einstellungen!$C$6,Einstellungen!$C$7)+1)="","-",INDEX(Muster!$C$8:$BF$8,1,MOD($A359-Einstellungen!$C$6,Einstellungen!$C$7)+1)))</f>
        <v>S</v>
      </c>
      <c r="Y359" s="27" t="n">
        <f aca="false">IF($A359="","",IFERROR(VLOOKUP(X359,Schichten!$A$5:$G$24,6,FALSE()),0))</f>
        <v>8</v>
      </c>
      <c r="Z359" s="27" t="n">
        <f aca="false">IF($A359="","",IFERROR(VLOOKUP(X359,Schichten!$A$5:$G$24,7,FALSE()),0))</f>
        <v>0</v>
      </c>
      <c r="AA359" s="28" t="n">
        <f aca="false">IF($A359="","",IF(N(Y359)=0,"",$A359+VLOOKUP(X359,Schichten!$A$5:$G$24,3,FALSE())))</f>
        <v>46742.5833333333</v>
      </c>
      <c r="AB359" s="28" t="n">
        <f aca="false">IF(AA359="","",$A359+VLOOKUP(X359,Schichten!$A$5:$G$24,4,FALSE())+IF(VLOOKUP(X359,Schichten!$A$5:$G$24,4,FALSE())&lt;=VLOOKUP(X359,Schichten!$A$5:$G$24,3,FALSE()),1,0))</f>
        <v>46742.9166666667</v>
      </c>
      <c r="AC359" s="28" t="n">
        <f aca="false">IF($A359="","",IF(N(Y358)&gt;0,AB358,AC358))</f>
        <v>46741.9166666667</v>
      </c>
      <c r="AD359" s="27" t="n">
        <f aca="false">IF(OR(AA359="",AC359=""),"",(AA359-AC359)*24)</f>
        <v>16</v>
      </c>
      <c r="AE359" s="21" t="n">
        <f aca="false">IF($A359="","",IF(N(Y359)&gt;0,N(AE358)+1,0))</f>
        <v>4</v>
      </c>
      <c r="AF359" s="21" t="n">
        <f aca="false">IF($A359="","",IF(N(Z359)&gt;0,N(AF358)+1,0))</f>
        <v>0</v>
      </c>
      <c r="AG359" s="21" t="str">
        <f aca="false">IF($A359="","",IF(WEEKDAY($A359,2)&lt;&gt;7,"",IF(AND(OR(AA359="",N(AA359)&gt;=$A359+16/24,N(AB359)&lt;=$A359+6/24),OR(AC359="",N(AC359)&lt;=$A359+6/24)),1,0)))</f>
        <v/>
      </c>
      <c r="AH359" s="26" t="str">
        <f aca="false">IF($A359="","",IF(INDEX(Muster!$C$9:$BF$9,1,MOD($A359-Einstellungen!$C$6,Einstellungen!$C$7)+1)="","-",INDEX(Muster!$C$9:$BF$9,1,MOD($A359-Einstellungen!$C$6,Einstellungen!$C$7)+1)))</f>
        <v>F</v>
      </c>
      <c r="AI359" s="27" t="n">
        <f aca="false">IF($A359="","",IFERROR(VLOOKUP(AH359,Schichten!$A$5:$G$24,6,FALSE()),0))</f>
        <v>8</v>
      </c>
      <c r="AJ359" s="27" t="n">
        <f aca="false">IF($A359="","",IFERROR(VLOOKUP(AH359,Schichten!$A$5:$G$24,7,FALSE()),0))</f>
        <v>0</v>
      </c>
      <c r="AK359" s="28" t="n">
        <f aca="false">IF($A359="","",IF(N(AI359)=0,"",$A359+VLOOKUP(AH359,Schichten!$A$5:$G$24,3,FALSE())))</f>
        <v>46742.25</v>
      </c>
      <c r="AL359" s="28" t="n">
        <f aca="false">IF(AK359="","",$A359+VLOOKUP(AH359,Schichten!$A$5:$G$24,4,FALSE())+IF(VLOOKUP(AH359,Schichten!$A$5:$G$24,4,FALSE())&lt;=VLOOKUP(AH359,Schichten!$A$5:$G$24,3,FALSE()),1,0))</f>
        <v>46742.5833333333</v>
      </c>
      <c r="AM359" s="28" t="n">
        <f aca="false">IF($A359="","",IF(N(AI358)&gt;0,AL358,AM358))</f>
        <v>46741.5833333333</v>
      </c>
      <c r="AN359" s="27" t="n">
        <f aca="false">IF(OR(AK359="",AM359=""),"",(AK359-AM359)*24)</f>
        <v>16</v>
      </c>
      <c r="AO359" s="21" t="n">
        <f aca="false">IF($A359="","",IF(N(AI359)&gt;0,N(AO358)+1,0))</f>
        <v>2</v>
      </c>
      <c r="AP359" s="21" t="n">
        <f aca="false">IF($A359="","",IF(N(AJ359)&gt;0,N(AP358)+1,0))</f>
        <v>0</v>
      </c>
      <c r="AQ359" s="21" t="str">
        <f aca="false">IF($A359="","",IF(WEEKDAY($A359,2)&lt;&gt;7,"",IF(AND(OR(AK359="",N(AK359)&gt;=$A359+16/24,N(AL359)&lt;=$A359+6/24),OR(AM359="",N(AM359)&lt;=$A359+6/24)),1,0)))</f>
        <v/>
      </c>
      <c r="AR359" s="26" t="str">
        <f aca="false">IF($A359="","",IF(INDEX(Muster!$C$10:$BF$10,1,MOD($A359-Einstellungen!$C$6,Einstellungen!$C$7)+1)="","-",INDEX(Muster!$C$10:$BF$10,1,MOD($A359-Einstellungen!$C$6,Einstellungen!$C$7)+1)))</f>
        <v>-</v>
      </c>
      <c r="AS359" s="27" t="n">
        <f aca="false">IF($A359="","",IFERROR(VLOOKUP(AR359,Schichten!$A$5:$G$24,6,FALSE()),0))</f>
        <v>0</v>
      </c>
      <c r="AT359" s="27" t="n">
        <f aca="false">IF($A359="","",IFERROR(VLOOKUP(AR359,Schichten!$A$5:$G$24,7,FALSE()),0))</f>
        <v>0</v>
      </c>
      <c r="AU359" s="28" t="str">
        <f aca="false">IF($A359="","",IF(N(AS359)=0,"",$A359+VLOOKUP(AR359,Schichten!$A$5:$G$24,3,FALSE())))</f>
        <v/>
      </c>
      <c r="AV359" s="28" t="str">
        <f aca="false">IF(AU359="","",$A359+VLOOKUP(AR359,Schichten!$A$5:$G$24,4,FALSE())+IF(VLOOKUP(AR359,Schichten!$A$5:$G$24,4,FALSE())&lt;=VLOOKUP(AR359,Schichten!$A$5:$G$24,3,FALSE()),1,0))</f>
        <v/>
      </c>
      <c r="AW359" s="28" t="str">
        <f aca="false">IF($A359="","",IF(N(AS358)&gt;0,AV358,AW358))</f>
        <v/>
      </c>
      <c r="AX359" s="27" t="str">
        <f aca="false">IF(OR(AU359="",AW359=""),"",(AU359-AW359)*24)</f>
        <v/>
      </c>
      <c r="AY359" s="21" t="n">
        <f aca="false">IF($A359="","",IF(N(AS359)&gt;0,N(AY358)+1,0))</f>
        <v>0</v>
      </c>
      <c r="AZ359" s="21" t="n">
        <f aca="false">IF($A359="","",IF(N(AT359)&gt;0,N(AZ358)+1,0))</f>
        <v>0</v>
      </c>
      <c r="BA359" s="21" t="str">
        <f aca="false">IF($A359="","",IF(WEEKDAY($A359,2)&lt;&gt;7,"",IF(AND(OR(AU359="",N(AU359)&gt;=$A359+16/24,N(AV359)&lt;=$A359+6/24),OR(AW359="",N(AW359)&lt;=$A359+6/24)),1,0)))</f>
        <v/>
      </c>
    </row>
    <row r="360" customFormat="false" ht="15" hidden="false" customHeight="false" outlineLevel="0" collapsed="false">
      <c r="A360" s="25" t="n">
        <f aca="false">IF(YEAR(DATE(Einstellungen!$C$4,1,1)+355)=Einstellungen!$C$4,DATE(Einstellungen!$C$4,1,1)+355,"")</f>
        <v>46743</v>
      </c>
      <c r="B360" s="26" t="str">
        <f aca="false">IF($A360="","",CHOOSE(WEEKDAY($A360,2),"Mo","Di","Mi","Do","Fr","Sa","So"))</f>
        <v>Mi</v>
      </c>
      <c r="C360" s="26" t="n">
        <f aca="false">IF($A360="","",MONTH($A360))</f>
        <v>12</v>
      </c>
      <c r="D360" s="26" t="str">
        <f aca="false">IF($A360="","",IF(INDEX(Muster!$C$6:$BF$6,1,MOD($A360-Einstellungen!$C$6,Einstellungen!$C$7)+1)="","-",INDEX(Muster!$C$6:$BF$6,1,MOD($A360-Einstellungen!$C$6,Einstellungen!$C$7)+1)))</f>
        <v>F</v>
      </c>
      <c r="E360" s="27" t="n">
        <f aca="false">IF($A360="","",IFERROR(VLOOKUP(D360,Schichten!$A$5:$G$24,6,FALSE()),0))</f>
        <v>8</v>
      </c>
      <c r="F360" s="27" t="n">
        <f aca="false">IF($A360="","",IFERROR(VLOOKUP(D360,Schichten!$A$5:$G$24,7,FALSE()),0))</f>
        <v>0</v>
      </c>
      <c r="G360" s="28" t="n">
        <f aca="false">IF($A360="","",IF(N(E360)=0,"",$A360+VLOOKUP(D360,Schichten!$A$5:$G$24,3,FALSE())))</f>
        <v>46743.25</v>
      </c>
      <c r="H360" s="28" t="n">
        <f aca="false">IF(G360="","",$A360+VLOOKUP(D360,Schichten!$A$5:$G$24,4,FALSE())+IF(VLOOKUP(D360,Schichten!$A$5:$G$24,4,FALSE())&lt;=VLOOKUP(D360,Schichten!$A$5:$G$24,3,FALSE()),1,0))</f>
        <v>46743.5833333333</v>
      </c>
      <c r="I360" s="28" t="n">
        <f aca="false">IF($A360="","",IF(N(E359)&gt;0,H359,I359))</f>
        <v>46741.25</v>
      </c>
      <c r="J360" s="27" t="n">
        <f aca="false">IF(OR(G360="",I360=""),"",(G360-I360)*24)</f>
        <v>48</v>
      </c>
      <c r="K360" s="21" t="n">
        <f aca="false">IF($A360="","",IF(N(E360)&gt;0,N(K359)+1,0))</f>
        <v>1</v>
      </c>
      <c r="L360" s="21" t="n">
        <f aca="false">IF($A360="","",IF(N(F360)&gt;0,N(L359)+1,0))</f>
        <v>0</v>
      </c>
      <c r="M360" s="21" t="str">
        <f aca="false">IF($A360="","",IF(WEEKDAY($A360,2)&lt;&gt;7,"",IF(AND(OR(G360="",N(G360)&gt;=$A360+16/24,N(H360)&lt;=$A360+6/24),OR(I360="",N(I360)&lt;=$A360+6/24)),1,0)))</f>
        <v/>
      </c>
      <c r="N360" s="26" t="str">
        <f aca="false">IF($A360="","",IF(INDEX(Muster!$C$7:$BF$7,1,MOD($A360-Einstellungen!$C$6,Einstellungen!$C$7)+1)="","-",INDEX(Muster!$C$7:$BF$7,1,MOD($A360-Einstellungen!$C$6,Einstellungen!$C$7)+1)))</f>
        <v>-</v>
      </c>
      <c r="O360" s="27" t="n">
        <f aca="false">IF($A360="","",IFERROR(VLOOKUP(N360,Schichten!$A$5:$G$24,6,FALSE()),0))</f>
        <v>0</v>
      </c>
      <c r="P360" s="27" t="n">
        <f aca="false">IF($A360="","",IFERROR(VLOOKUP(N360,Schichten!$A$5:$G$24,7,FALSE()),0))</f>
        <v>0</v>
      </c>
      <c r="Q360" s="28" t="str">
        <f aca="false">IF($A360="","",IF(N(O360)=0,"",$A360+VLOOKUP(N360,Schichten!$A$5:$G$24,3,FALSE())))</f>
        <v/>
      </c>
      <c r="R360" s="28" t="str">
        <f aca="false">IF(Q360="","",$A360+VLOOKUP(N360,Schichten!$A$5:$G$24,4,FALSE())+IF(VLOOKUP(N360,Schichten!$A$5:$G$24,4,FALSE())&lt;=VLOOKUP(N360,Schichten!$A$5:$G$24,3,FALSE()),1,0))</f>
        <v/>
      </c>
      <c r="S360" s="28" t="n">
        <f aca="false">IF($A360="","",IF(N(O359)&gt;0,R359,S359))</f>
        <v>46743.25</v>
      </c>
      <c r="T360" s="27" t="str">
        <f aca="false">IF(OR(Q360="",S360=""),"",(Q360-S360)*24)</f>
        <v/>
      </c>
      <c r="U360" s="21" t="n">
        <f aca="false">IF($A360="","",IF(N(O360)&gt;0,N(U359)+1,0))</f>
        <v>0</v>
      </c>
      <c r="V360" s="21" t="n">
        <f aca="false">IF($A360="","",IF(N(P360)&gt;0,N(V359)+1,0))</f>
        <v>0</v>
      </c>
      <c r="W360" s="21" t="str">
        <f aca="false">IF($A360="","",IF(WEEKDAY($A360,2)&lt;&gt;7,"",IF(AND(OR(Q360="",N(Q360)&gt;=$A360+16/24,N(R360)&lt;=$A360+6/24),OR(S360="",N(S360)&lt;=$A360+6/24)),1,0)))</f>
        <v/>
      </c>
      <c r="X360" s="26" t="str">
        <f aca="false">IF($A360="","",IF(INDEX(Muster!$C$8:$BF$8,1,MOD($A360-Einstellungen!$C$6,Einstellungen!$C$7)+1)="","-",INDEX(Muster!$C$8:$BF$8,1,MOD($A360-Einstellungen!$C$6,Einstellungen!$C$7)+1)))</f>
        <v>N</v>
      </c>
      <c r="Y360" s="27" t="n">
        <f aca="false">IF($A360="","",IFERROR(VLOOKUP(X360,Schichten!$A$5:$G$24,6,FALSE()),0))</f>
        <v>8</v>
      </c>
      <c r="Z360" s="27" t="n">
        <f aca="false">IF($A360="","",IFERROR(VLOOKUP(X360,Schichten!$A$5:$G$24,7,FALSE()),0))</f>
        <v>7</v>
      </c>
      <c r="AA360" s="28" t="n">
        <f aca="false">IF($A360="","",IF(N(Y360)=0,"",$A360+VLOOKUP(X360,Schichten!$A$5:$G$24,3,FALSE())))</f>
        <v>46743.9166666667</v>
      </c>
      <c r="AB360" s="28" t="n">
        <f aca="false">IF(AA360="","",$A360+VLOOKUP(X360,Schichten!$A$5:$G$24,4,FALSE())+IF(VLOOKUP(X360,Schichten!$A$5:$G$24,4,FALSE())&lt;=VLOOKUP(X360,Schichten!$A$5:$G$24,3,FALSE()),1,0))</f>
        <v>46744.25</v>
      </c>
      <c r="AC360" s="28" t="n">
        <f aca="false">IF($A360="","",IF(N(Y359)&gt;0,AB359,AC359))</f>
        <v>46742.9166666667</v>
      </c>
      <c r="AD360" s="27" t="n">
        <f aca="false">IF(OR(AA360="",AC360=""),"",(AA360-AC360)*24)</f>
        <v>24</v>
      </c>
      <c r="AE360" s="21" t="n">
        <f aca="false">IF($A360="","",IF(N(Y360)&gt;0,N(AE359)+1,0))</f>
        <v>5</v>
      </c>
      <c r="AF360" s="21" t="n">
        <f aca="false">IF($A360="","",IF(N(Z360)&gt;0,N(AF359)+1,0))</f>
        <v>1</v>
      </c>
      <c r="AG360" s="21" t="str">
        <f aca="false">IF($A360="","",IF(WEEKDAY($A360,2)&lt;&gt;7,"",IF(AND(OR(AA360="",N(AA360)&gt;=$A360+16/24,N(AB360)&lt;=$A360+6/24),OR(AC360="",N(AC360)&lt;=$A360+6/24)),1,0)))</f>
        <v/>
      </c>
      <c r="AH360" s="26" t="str">
        <f aca="false">IF($A360="","",IF(INDEX(Muster!$C$9:$BF$9,1,MOD($A360-Einstellungen!$C$6,Einstellungen!$C$7)+1)="","-",INDEX(Muster!$C$9:$BF$9,1,MOD($A360-Einstellungen!$C$6,Einstellungen!$C$7)+1)))</f>
        <v>S</v>
      </c>
      <c r="AI360" s="27" t="n">
        <f aca="false">IF($A360="","",IFERROR(VLOOKUP(AH360,Schichten!$A$5:$G$24,6,FALSE()),0))</f>
        <v>8</v>
      </c>
      <c r="AJ360" s="27" t="n">
        <f aca="false">IF($A360="","",IFERROR(VLOOKUP(AH360,Schichten!$A$5:$G$24,7,FALSE()),0))</f>
        <v>0</v>
      </c>
      <c r="AK360" s="28" t="n">
        <f aca="false">IF($A360="","",IF(N(AI360)=0,"",$A360+VLOOKUP(AH360,Schichten!$A$5:$G$24,3,FALSE())))</f>
        <v>46743.5833333333</v>
      </c>
      <c r="AL360" s="28" t="n">
        <f aca="false">IF(AK360="","",$A360+VLOOKUP(AH360,Schichten!$A$5:$G$24,4,FALSE())+IF(VLOOKUP(AH360,Schichten!$A$5:$G$24,4,FALSE())&lt;=VLOOKUP(AH360,Schichten!$A$5:$G$24,3,FALSE()),1,0))</f>
        <v>46743.9166666667</v>
      </c>
      <c r="AM360" s="28" t="n">
        <f aca="false">IF($A360="","",IF(N(AI359)&gt;0,AL359,AM359))</f>
        <v>46742.5833333333</v>
      </c>
      <c r="AN360" s="27" t="n">
        <f aca="false">IF(OR(AK360="",AM360=""),"",(AK360-AM360)*24)</f>
        <v>24</v>
      </c>
      <c r="AO360" s="21" t="n">
        <f aca="false">IF($A360="","",IF(N(AI360)&gt;0,N(AO359)+1,0))</f>
        <v>3</v>
      </c>
      <c r="AP360" s="21" t="n">
        <f aca="false">IF($A360="","",IF(N(AJ360)&gt;0,N(AP359)+1,0))</f>
        <v>0</v>
      </c>
      <c r="AQ360" s="21" t="str">
        <f aca="false">IF($A360="","",IF(WEEKDAY($A360,2)&lt;&gt;7,"",IF(AND(OR(AK360="",N(AK360)&gt;=$A360+16/24,N(AL360)&lt;=$A360+6/24),OR(AM360="",N(AM360)&lt;=$A360+6/24)),1,0)))</f>
        <v/>
      </c>
      <c r="AR360" s="26" t="str">
        <f aca="false">IF($A360="","",IF(INDEX(Muster!$C$10:$BF$10,1,MOD($A360-Einstellungen!$C$6,Einstellungen!$C$7)+1)="","-",INDEX(Muster!$C$10:$BF$10,1,MOD($A360-Einstellungen!$C$6,Einstellungen!$C$7)+1)))</f>
        <v>-</v>
      </c>
      <c r="AS360" s="27" t="n">
        <f aca="false">IF($A360="","",IFERROR(VLOOKUP(AR360,Schichten!$A$5:$G$24,6,FALSE()),0))</f>
        <v>0</v>
      </c>
      <c r="AT360" s="27" t="n">
        <f aca="false">IF($A360="","",IFERROR(VLOOKUP(AR360,Schichten!$A$5:$G$24,7,FALSE()),0))</f>
        <v>0</v>
      </c>
      <c r="AU360" s="28" t="str">
        <f aca="false">IF($A360="","",IF(N(AS360)=0,"",$A360+VLOOKUP(AR360,Schichten!$A$5:$G$24,3,FALSE())))</f>
        <v/>
      </c>
      <c r="AV360" s="28" t="str">
        <f aca="false">IF(AU360="","",$A360+VLOOKUP(AR360,Schichten!$A$5:$G$24,4,FALSE())+IF(VLOOKUP(AR360,Schichten!$A$5:$G$24,4,FALSE())&lt;=VLOOKUP(AR360,Schichten!$A$5:$G$24,3,FALSE()),1,0))</f>
        <v/>
      </c>
      <c r="AW360" s="28" t="str">
        <f aca="false">IF($A360="","",IF(N(AS359)&gt;0,AV359,AW359))</f>
        <v/>
      </c>
      <c r="AX360" s="27" t="str">
        <f aca="false">IF(OR(AU360="",AW360=""),"",(AU360-AW360)*24)</f>
        <v/>
      </c>
      <c r="AY360" s="21" t="n">
        <f aca="false">IF($A360="","",IF(N(AS360)&gt;0,N(AY359)+1,0))</f>
        <v>0</v>
      </c>
      <c r="AZ360" s="21" t="n">
        <f aca="false">IF($A360="","",IF(N(AT360)&gt;0,N(AZ359)+1,0))</f>
        <v>0</v>
      </c>
      <c r="BA360" s="21" t="str">
        <f aca="false">IF($A360="","",IF(WEEKDAY($A360,2)&lt;&gt;7,"",IF(AND(OR(AU360="",N(AU360)&gt;=$A360+16/24,N(AV360)&lt;=$A360+6/24),OR(AW360="",N(AW360)&lt;=$A360+6/24)),1,0)))</f>
        <v/>
      </c>
    </row>
    <row r="361" customFormat="false" ht="15" hidden="false" customHeight="false" outlineLevel="0" collapsed="false">
      <c r="A361" s="25" t="n">
        <f aca="false">IF(YEAR(DATE(Einstellungen!$C$4,1,1)+356)=Einstellungen!$C$4,DATE(Einstellungen!$C$4,1,1)+356,"")</f>
        <v>46744</v>
      </c>
      <c r="B361" s="26" t="str">
        <f aca="false">IF($A361="","",CHOOSE(WEEKDAY($A361,2),"Mo","Di","Mi","Do","Fr","Sa","So"))</f>
        <v>Do</v>
      </c>
      <c r="C361" s="26" t="n">
        <f aca="false">IF($A361="","",MONTH($A361))</f>
        <v>12</v>
      </c>
      <c r="D361" s="26" t="str">
        <f aca="false">IF($A361="","",IF(INDEX(Muster!$C$6:$BF$6,1,MOD($A361-Einstellungen!$C$6,Einstellungen!$C$7)+1)="","-",INDEX(Muster!$C$6:$BF$6,1,MOD($A361-Einstellungen!$C$6,Einstellungen!$C$7)+1)))</f>
        <v>F</v>
      </c>
      <c r="E361" s="27" t="n">
        <f aca="false">IF($A361="","",IFERROR(VLOOKUP(D361,Schichten!$A$5:$G$24,6,FALSE()),0))</f>
        <v>8</v>
      </c>
      <c r="F361" s="27" t="n">
        <f aca="false">IF($A361="","",IFERROR(VLOOKUP(D361,Schichten!$A$5:$G$24,7,FALSE()),0))</f>
        <v>0</v>
      </c>
      <c r="G361" s="28" t="n">
        <f aca="false">IF($A361="","",IF(N(E361)=0,"",$A361+VLOOKUP(D361,Schichten!$A$5:$G$24,3,FALSE())))</f>
        <v>46744.25</v>
      </c>
      <c r="H361" s="28" t="n">
        <f aca="false">IF(G361="","",$A361+VLOOKUP(D361,Schichten!$A$5:$G$24,4,FALSE())+IF(VLOOKUP(D361,Schichten!$A$5:$G$24,4,FALSE())&lt;=VLOOKUP(D361,Schichten!$A$5:$G$24,3,FALSE()),1,0))</f>
        <v>46744.5833333333</v>
      </c>
      <c r="I361" s="28" t="n">
        <f aca="false">IF($A361="","",IF(N(E360)&gt;0,H360,I360))</f>
        <v>46743.5833333333</v>
      </c>
      <c r="J361" s="27" t="n">
        <f aca="false">IF(OR(G361="",I361=""),"",(G361-I361)*24)</f>
        <v>16</v>
      </c>
      <c r="K361" s="21" t="n">
        <f aca="false">IF($A361="","",IF(N(E361)&gt;0,N(K360)+1,0))</f>
        <v>2</v>
      </c>
      <c r="L361" s="21" t="n">
        <f aca="false">IF($A361="","",IF(N(F361)&gt;0,N(L360)+1,0))</f>
        <v>0</v>
      </c>
      <c r="M361" s="21" t="str">
        <f aca="false">IF($A361="","",IF(WEEKDAY($A361,2)&lt;&gt;7,"",IF(AND(OR(G361="",N(G361)&gt;=$A361+16/24,N(H361)&lt;=$A361+6/24),OR(I361="",N(I361)&lt;=$A361+6/24)),1,0)))</f>
        <v/>
      </c>
      <c r="N361" s="26" t="str">
        <f aca="false">IF($A361="","",IF(INDEX(Muster!$C$7:$BF$7,1,MOD($A361-Einstellungen!$C$6,Einstellungen!$C$7)+1)="","-",INDEX(Muster!$C$7:$BF$7,1,MOD($A361-Einstellungen!$C$6,Einstellungen!$C$7)+1)))</f>
        <v>-</v>
      </c>
      <c r="O361" s="27" t="n">
        <f aca="false">IF($A361="","",IFERROR(VLOOKUP(N361,Schichten!$A$5:$G$24,6,FALSE()),0))</f>
        <v>0</v>
      </c>
      <c r="P361" s="27" t="n">
        <f aca="false">IF($A361="","",IFERROR(VLOOKUP(N361,Schichten!$A$5:$G$24,7,FALSE()),0))</f>
        <v>0</v>
      </c>
      <c r="Q361" s="28" t="str">
        <f aca="false">IF($A361="","",IF(N(O361)=0,"",$A361+VLOOKUP(N361,Schichten!$A$5:$G$24,3,FALSE())))</f>
        <v/>
      </c>
      <c r="R361" s="28" t="str">
        <f aca="false">IF(Q361="","",$A361+VLOOKUP(N361,Schichten!$A$5:$G$24,4,FALSE())+IF(VLOOKUP(N361,Schichten!$A$5:$G$24,4,FALSE())&lt;=VLOOKUP(N361,Schichten!$A$5:$G$24,3,FALSE()),1,0))</f>
        <v/>
      </c>
      <c r="S361" s="28" t="n">
        <f aca="false">IF($A361="","",IF(N(O360)&gt;0,R360,S360))</f>
        <v>46743.25</v>
      </c>
      <c r="T361" s="27" t="str">
        <f aca="false">IF(OR(Q361="",S361=""),"",(Q361-S361)*24)</f>
        <v/>
      </c>
      <c r="U361" s="21" t="n">
        <f aca="false">IF($A361="","",IF(N(O361)&gt;0,N(U360)+1,0))</f>
        <v>0</v>
      </c>
      <c r="V361" s="21" t="n">
        <f aca="false">IF($A361="","",IF(N(P361)&gt;0,N(V360)+1,0))</f>
        <v>0</v>
      </c>
      <c r="W361" s="21" t="str">
        <f aca="false">IF($A361="","",IF(WEEKDAY($A361,2)&lt;&gt;7,"",IF(AND(OR(Q361="",N(Q361)&gt;=$A361+16/24,N(R361)&lt;=$A361+6/24),OR(S361="",N(S361)&lt;=$A361+6/24)),1,0)))</f>
        <v/>
      </c>
      <c r="X361" s="26" t="str">
        <f aca="false">IF($A361="","",IF(INDEX(Muster!$C$8:$BF$8,1,MOD($A361-Einstellungen!$C$6,Einstellungen!$C$7)+1)="","-",INDEX(Muster!$C$8:$BF$8,1,MOD($A361-Einstellungen!$C$6,Einstellungen!$C$7)+1)))</f>
        <v>N</v>
      </c>
      <c r="Y361" s="27" t="n">
        <f aca="false">IF($A361="","",IFERROR(VLOOKUP(X361,Schichten!$A$5:$G$24,6,FALSE()),0))</f>
        <v>8</v>
      </c>
      <c r="Z361" s="27" t="n">
        <f aca="false">IF($A361="","",IFERROR(VLOOKUP(X361,Schichten!$A$5:$G$24,7,FALSE()),0))</f>
        <v>7</v>
      </c>
      <c r="AA361" s="28" t="n">
        <f aca="false">IF($A361="","",IF(N(Y361)=0,"",$A361+VLOOKUP(X361,Schichten!$A$5:$G$24,3,FALSE())))</f>
        <v>46744.9166666667</v>
      </c>
      <c r="AB361" s="28" t="n">
        <f aca="false">IF(AA361="","",$A361+VLOOKUP(X361,Schichten!$A$5:$G$24,4,FALSE())+IF(VLOOKUP(X361,Schichten!$A$5:$G$24,4,FALSE())&lt;=VLOOKUP(X361,Schichten!$A$5:$G$24,3,FALSE()),1,0))</f>
        <v>46745.25</v>
      </c>
      <c r="AC361" s="28" t="n">
        <f aca="false">IF($A361="","",IF(N(Y360)&gt;0,AB360,AC360))</f>
        <v>46744.25</v>
      </c>
      <c r="AD361" s="27" t="n">
        <f aca="false">IF(OR(AA361="",AC361=""),"",(AA361-AC361)*24)</f>
        <v>16</v>
      </c>
      <c r="AE361" s="21" t="n">
        <f aca="false">IF($A361="","",IF(N(Y361)&gt;0,N(AE360)+1,0))</f>
        <v>6</v>
      </c>
      <c r="AF361" s="21" t="n">
        <f aca="false">IF($A361="","",IF(N(Z361)&gt;0,N(AF360)+1,0))</f>
        <v>2</v>
      </c>
      <c r="AG361" s="21" t="str">
        <f aca="false">IF($A361="","",IF(WEEKDAY($A361,2)&lt;&gt;7,"",IF(AND(OR(AA361="",N(AA361)&gt;=$A361+16/24,N(AB361)&lt;=$A361+6/24),OR(AC361="",N(AC361)&lt;=$A361+6/24)),1,0)))</f>
        <v/>
      </c>
      <c r="AH361" s="26" t="str">
        <f aca="false">IF($A361="","",IF(INDEX(Muster!$C$9:$BF$9,1,MOD($A361-Einstellungen!$C$6,Einstellungen!$C$7)+1)="","-",INDEX(Muster!$C$9:$BF$9,1,MOD($A361-Einstellungen!$C$6,Einstellungen!$C$7)+1)))</f>
        <v>S</v>
      </c>
      <c r="AI361" s="27" t="n">
        <f aca="false">IF($A361="","",IFERROR(VLOOKUP(AH361,Schichten!$A$5:$G$24,6,FALSE()),0))</f>
        <v>8</v>
      </c>
      <c r="AJ361" s="27" t="n">
        <f aca="false">IF($A361="","",IFERROR(VLOOKUP(AH361,Schichten!$A$5:$G$24,7,FALSE()),0))</f>
        <v>0</v>
      </c>
      <c r="AK361" s="28" t="n">
        <f aca="false">IF($A361="","",IF(N(AI361)=0,"",$A361+VLOOKUP(AH361,Schichten!$A$5:$G$24,3,FALSE())))</f>
        <v>46744.5833333333</v>
      </c>
      <c r="AL361" s="28" t="n">
        <f aca="false">IF(AK361="","",$A361+VLOOKUP(AH361,Schichten!$A$5:$G$24,4,FALSE())+IF(VLOOKUP(AH361,Schichten!$A$5:$G$24,4,FALSE())&lt;=VLOOKUP(AH361,Schichten!$A$5:$G$24,3,FALSE()),1,0))</f>
        <v>46744.9166666667</v>
      </c>
      <c r="AM361" s="28" t="n">
        <f aca="false">IF($A361="","",IF(N(AI360)&gt;0,AL360,AM360))</f>
        <v>46743.9166666667</v>
      </c>
      <c r="AN361" s="27" t="n">
        <f aca="false">IF(OR(AK361="",AM361=""),"",(AK361-AM361)*24)</f>
        <v>16</v>
      </c>
      <c r="AO361" s="21" t="n">
        <f aca="false">IF($A361="","",IF(N(AI361)&gt;0,N(AO360)+1,0))</f>
        <v>4</v>
      </c>
      <c r="AP361" s="21" t="n">
        <f aca="false">IF($A361="","",IF(N(AJ361)&gt;0,N(AP360)+1,0))</f>
        <v>0</v>
      </c>
      <c r="AQ361" s="21" t="str">
        <f aca="false">IF($A361="","",IF(WEEKDAY($A361,2)&lt;&gt;7,"",IF(AND(OR(AK361="",N(AK361)&gt;=$A361+16/24,N(AL361)&lt;=$A361+6/24),OR(AM361="",N(AM361)&lt;=$A361+6/24)),1,0)))</f>
        <v/>
      </c>
      <c r="AR361" s="26" t="str">
        <f aca="false">IF($A361="","",IF(INDEX(Muster!$C$10:$BF$10,1,MOD($A361-Einstellungen!$C$6,Einstellungen!$C$7)+1)="","-",INDEX(Muster!$C$10:$BF$10,1,MOD($A361-Einstellungen!$C$6,Einstellungen!$C$7)+1)))</f>
        <v>-</v>
      </c>
      <c r="AS361" s="27" t="n">
        <f aca="false">IF($A361="","",IFERROR(VLOOKUP(AR361,Schichten!$A$5:$G$24,6,FALSE()),0))</f>
        <v>0</v>
      </c>
      <c r="AT361" s="27" t="n">
        <f aca="false">IF($A361="","",IFERROR(VLOOKUP(AR361,Schichten!$A$5:$G$24,7,FALSE()),0))</f>
        <v>0</v>
      </c>
      <c r="AU361" s="28" t="str">
        <f aca="false">IF($A361="","",IF(N(AS361)=0,"",$A361+VLOOKUP(AR361,Schichten!$A$5:$G$24,3,FALSE())))</f>
        <v/>
      </c>
      <c r="AV361" s="28" t="str">
        <f aca="false">IF(AU361="","",$A361+VLOOKUP(AR361,Schichten!$A$5:$G$24,4,FALSE())+IF(VLOOKUP(AR361,Schichten!$A$5:$G$24,4,FALSE())&lt;=VLOOKUP(AR361,Schichten!$A$5:$G$24,3,FALSE()),1,0))</f>
        <v/>
      </c>
      <c r="AW361" s="28" t="str">
        <f aca="false">IF($A361="","",IF(N(AS360)&gt;0,AV360,AW360))</f>
        <v/>
      </c>
      <c r="AX361" s="27" t="str">
        <f aca="false">IF(OR(AU361="",AW361=""),"",(AU361-AW361)*24)</f>
        <v/>
      </c>
      <c r="AY361" s="21" t="n">
        <f aca="false">IF($A361="","",IF(N(AS361)&gt;0,N(AY360)+1,0))</f>
        <v>0</v>
      </c>
      <c r="AZ361" s="21" t="n">
        <f aca="false">IF($A361="","",IF(N(AT361)&gt;0,N(AZ360)+1,0))</f>
        <v>0</v>
      </c>
      <c r="BA361" s="21" t="str">
        <f aca="false">IF($A361="","",IF(WEEKDAY($A361,2)&lt;&gt;7,"",IF(AND(OR(AU361="",N(AU361)&gt;=$A361+16/24,N(AV361)&lt;=$A361+6/24),OR(AW361="",N(AW361)&lt;=$A361+6/24)),1,0)))</f>
        <v/>
      </c>
    </row>
    <row r="362" customFormat="false" ht="15" hidden="false" customHeight="false" outlineLevel="0" collapsed="false">
      <c r="A362" s="25" t="n">
        <f aca="false">IF(YEAR(DATE(Einstellungen!$C$4,1,1)+357)=Einstellungen!$C$4,DATE(Einstellungen!$C$4,1,1)+357,"")</f>
        <v>46745</v>
      </c>
      <c r="B362" s="26" t="str">
        <f aca="false">IF($A362="","",CHOOSE(WEEKDAY($A362,2),"Mo","Di","Mi","Do","Fr","Sa","So"))</f>
        <v>Fr</v>
      </c>
      <c r="C362" s="26" t="n">
        <f aca="false">IF($A362="","",MONTH($A362))</f>
        <v>12</v>
      </c>
      <c r="D362" s="26" t="str">
        <f aca="false">IF($A362="","",IF(INDEX(Muster!$C$6:$BF$6,1,MOD($A362-Einstellungen!$C$6,Einstellungen!$C$7)+1)="","-",INDEX(Muster!$C$6:$BF$6,1,MOD($A362-Einstellungen!$C$6,Einstellungen!$C$7)+1)))</f>
        <v>S</v>
      </c>
      <c r="E362" s="27" t="n">
        <f aca="false">IF($A362="","",IFERROR(VLOOKUP(D362,Schichten!$A$5:$G$24,6,FALSE()),0))</f>
        <v>8</v>
      </c>
      <c r="F362" s="27" t="n">
        <f aca="false">IF($A362="","",IFERROR(VLOOKUP(D362,Schichten!$A$5:$G$24,7,FALSE()),0))</f>
        <v>0</v>
      </c>
      <c r="G362" s="28" t="n">
        <f aca="false">IF($A362="","",IF(N(E362)=0,"",$A362+VLOOKUP(D362,Schichten!$A$5:$G$24,3,FALSE())))</f>
        <v>46745.5833333333</v>
      </c>
      <c r="H362" s="28" t="n">
        <f aca="false">IF(G362="","",$A362+VLOOKUP(D362,Schichten!$A$5:$G$24,4,FALSE())+IF(VLOOKUP(D362,Schichten!$A$5:$G$24,4,FALSE())&lt;=VLOOKUP(D362,Schichten!$A$5:$G$24,3,FALSE()),1,0))</f>
        <v>46745.9166666667</v>
      </c>
      <c r="I362" s="28" t="n">
        <f aca="false">IF($A362="","",IF(N(E361)&gt;0,H361,I361))</f>
        <v>46744.5833333333</v>
      </c>
      <c r="J362" s="27" t="n">
        <f aca="false">IF(OR(G362="",I362=""),"",(G362-I362)*24)</f>
        <v>24</v>
      </c>
      <c r="K362" s="21" t="n">
        <f aca="false">IF($A362="","",IF(N(E362)&gt;0,N(K361)+1,0))</f>
        <v>3</v>
      </c>
      <c r="L362" s="21" t="n">
        <f aca="false">IF($A362="","",IF(N(F362)&gt;0,N(L361)+1,0))</f>
        <v>0</v>
      </c>
      <c r="M362" s="21" t="str">
        <f aca="false">IF($A362="","",IF(WEEKDAY($A362,2)&lt;&gt;7,"",IF(AND(OR(G362="",N(G362)&gt;=$A362+16/24,N(H362)&lt;=$A362+6/24),OR(I362="",N(I362)&lt;=$A362+6/24)),1,0)))</f>
        <v/>
      </c>
      <c r="N362" s="26" t="str">
        <f aca="false">IF($A362="","",IF(INDEX(Muster!$C$7:$BF$7,1,MOD($A362-Einstellungen!$C$6,Einstellungen!$C$7)+1)="","-",INDEX(Muster!$C$7:$BF$7,1,MOD($A362-Einstellungen!$C$6,Einstellungen!$C$7)+1)))</f>
        <v>F</v>
      </c>
      <c r="O362" s="27" t="n">
        <f aca="false">IF($A362="","",IFERROR(VLOOKUP(N362,Schichten!$A$5:$G$24,6,FALSE()),0))</f>
        <v>8</v>
      </c>
      <c r="P362" s="27" t="n">
        <f aca="false">IF($A362="","",IFERROR(VLOOKUP(N362,Schichten!$A$5:$G$24,7,FALSE()),0))</f>
        <v>0</v>
      </c>
      <c r="Q362" s="28" t="n">
        <f aca="false">IF($A362="","",IF(N(O362)=0,"",$A362+VLOOKUP(N362,Schichten!$A$5:$G$24,3,FALSE())))</f>
        <v>46745.25</v>
      </c>
      <c r="R362" s="28" t="n">
        <f aca="false">IF(Q362="","",$A362+VLOOKUP(N362,Schichten!$A$5:$G$24,4,FALSE())+IF(VLOOKUP(N362,Schichten!$A$5:$G$24,4,FALSE())&lt;=VLOOKUP(N362,Schichten!$A$5:$G$24,3,FALSE()),1,0))</f>
        <v>46745.5833333333</v>
      </c>
      <c r="S362" s="28" t="n">
        <f aca="false">IF($A362="","",IF(N(O361)&gt;0,R361,S361))</f>
        <v>46743.25</v>
      </c>
      <c r="T362" s="27" t="n">
        <f aca="false">IF(OR(Q362="",S362=""),"",(Q362-S362)*24)</f>
        <v>48</v>
      </c>
      <c r="U362" s="21" t="n">
        <f aca="false">IF($A362="","",IF(N(O362)&gt;0,N(U361)+1,0))</f>
        <v>1</v>
      </c>
      <c r="V362" s="21" t="n">
        <f aca="false">IF($A362="","",IF(N(P362)&gt;0,N(V361)+1,0))</f>
        <v>0</v>
      </c>
      <c r="W362" s="21" t="str">
        <f aca="false">IF($A362="","",IF(WEEKDAY($A362,2)&lt;&gt;7,"",IF(AND(OR(Q362="",N(Q362)&gt;=$A362+16/24,N(R362)&lt;=$A362+6/24),OR(S362="",N(S362)&lt;=$A362+6/24)),1,0)))</f>
        <v/>
      </c>
      <c r="X362" s="26" t="str">
        <f aca="false">IF($A362="","",IF(INDEX(Muster!$C$8:$BF$8,1,MOD($A362-Einstellungen!$C$6,Einstellungen!$C$7)+1)="","-",INDEX(Muster!$C$8:$BF$8,1,MOD($A362-Einstellungen!$C$6,Einstellungen!$C$7)+1)))</f>
        <v>-</v>
      </c>
      <c r="Y362" s="27" t="n">
        <f aca="false">IF($A362="","",IFERROR(VLOOKUP(X362,Schichten!$A$5:$G$24,6,FALSE()),0))</f>
        <v>0</v>
      </c>
      <c r="Z362" s="27" t="n">
        <f aca="false">IF($A362="","",IFERROR(VLOOKUP(X362,Schichten!$A$5:$G$24,7,FALSE()),0))</f>
        <v>0</v>
      </c>
      <c r="AA362" s="28" t="str">
        <f aca="false">IF($A362="","",IF(N(Y362)=0,"",$A362+VLOOKUP(X362,Schichten!$A$5:$G$24,3,FALSE())))</f>
        <v/>
      </c>
      <c r="AB362" s="28" t="str">
        <f aca="false">IF(AA362="","",$A362+VLOOKUP(X362,Schichten!$A$5:$G$24,4,FALSE())+IF(VLOOKUP(X362,Schichten!$A$5:$G$24,4,FALSE())&lt;=VLOOKUP(X362,Schichten!$A$5:$G$24,3,FALSE()),1,0))</f>
        <v/>
      </c>
      <c r="AC362" s="28" t="n">
        <f aca="false">IF($A362="","",IF(N(Y361)&gt;0,AB361,AC361))</f>
        <v>46745.25</v>
      </c>
      <c r="AD362" s="27" t="str">
        <f aca="false">IF(OR(AA362="",AC362=""),"",(AA362-AC362)*24)</f>
        <v/>
      </c>
      <c r="AE362" s="21" t="n">
        <f aca="false">IF($A362="","",IF(N(Y362)&gt;0,N(AE361)+1,0))</f>
        <v>0</v>
      </c>
      <c r="AF362" s="21" t="n">
        <f aca="false">IF($A362="","",IF(N(Z362)&gt;0,N(AF361)+1,0))</f>
        <v>0</v>
      </c>
      <c r="AG362" s="21" t="str">
        <f aca="false">IF($A362="","",IF(WEEKDAY($A362,2)&lt;&gt;7,"",IF(AND(OR(AA362="",N(AA362)&gt;=$A362+16/24,N(AB362)&lt;=$A362+6/24),OR(AC362="",N(AC362)&lt;=$A362+6/24)),1,0)))</f>
        <v/>
      </c>
      <c r="AH362" s="26" t="str">
        <f aca="false">IF($A362="","",IF(INDEX(Muster!$C$9:$BF$9,1,MOD($A362-Einstellungen!$C$6,Einstellungen!$C$7)+1)="","-",INDEX(Muster!$C$9:$BF$9,1,MOD($A362-Einstellungen!$C$6,Einstellungen!$C$7)+1)))</f>
        <v>N</v>
      </c>
      <c r="AI362" s="27" t="n">
        <f aca="false">IF($A362="","",IFERROR(VLOOKUP(AH362,Schichten!$A$5:$G$24,6,FALSE()),0))</f>
        <v>8</v>
      </c>
      <c r="AJ362" s="27" t="n">
        <f aca="false">IF($A362="","",IFERROR(VLOOKUP(AH362,Schichten!$A$5:$G$24,7,FALSE()),0))</f>
        <v>7</v>
      </c>
      <c r="AK362" s="28" t="n">
        <f aca="false">IF($A362="","",IF(N(AI362)=0,"",$A362+VLOOKUP(AH362,Schichten!$A$5:$G$24,3,FALSE())))</f>
        <v>46745.9166666667</v>
      </c>
      <c r="AL362" s="28" t="n">
        <f aca="false">IF(AK362="","",$A362+VLOOKUP(AH362,Schichten!$A$5:$G$24,4,FALSE())+IF(VLOOKUP(AH362,Schichten!$A$5:$G$24,4,FALSE())&lt;=VLOOKUP(AH362,Schichten!$A$5:$G$24,3,FALSE()),1,0))</f>
        <v>46746.25</v>
      </c>
      <c r="AM362" s="28" t="n">
        <f aca="false">IF($A362="","",IF(N(AI361)&gt;0,AL361,AM361))</f>
        <v>46744.9166666667</v>
      </c>
      <c r="AN362" s="27" t="n">
        <f aca="false">IF(OR(AK362="",AM362=""),"",(AK362-AM362)*24)</f>
        <v>24</v>
      </c>
      <c r="AO362" s="21" t="n">
        <f aca="false">IF($A362="","",IF(N(AI362)&gt;0,N(AO361)+1,0))</f>
        <v>5</v>
      </c>
      <c r="AP362" s="21" t="n">
        <f aca="false">IF($A362="","",IF(N(AJ362)&gt;0,N(AP361)+1,0))</f>
        <v>1</v>
      </c>
      <c r="AQ362" s="21" t="str">
        <f aca="false">IF($A362="","",IF(WEEKDAY($A362,2)&lt;&gt;7,"",IF(AND(OR(AK362="",N(AK362)&gt;=$A362+16/24,N(AL362)&lt;=$A362+6/24),OR(AM362="",N(AM362)&lt;=$A362+6/24)),1,0)))</f>
        <v/>
      </c>
      <c r="AR362" s="26" t="str">
        <f aca="false">IF($A362="","",IF(INDEX(Muster!$C$10:$BF$10,1,MOD($A362-Einstellungen!$C$6,Einstellungen!$C$7)+1)="","-",INDEX(Muster!$C$10:$BF$10,1,MOD($A362-Einstellungen!$C$6,Einstellungen!$C$7)+1)))</f>
        <v>-</v>
      </c>
      <c r="AS362" s="27" t="n">
        <f aca="false">IF($A362="","",IFERROR(VLOOKUP(AR362,Schichten!$A$5:$G$24,6,FALSE()),0))</f>
        <v>0</v>
      </c>
      <c r="AT362" s="27" t="n">
        <f aca="false">IF($A362="","",IFERROR(VLOOKUP(AR362,Schichten!$A$5:$G$24,7,FALSE()),0))</f>
        <v>0</v>
      </c>
      <c r="AU362" s="28" t="str">
        <f aca="false">IF($A362="","",IF(N(AS362)=0,"",$A362+VLOOKUP(AR362,Schichten!$A$5:$G$24,3,FALSE())))</f>
        <v/>
      </c>
      <c r="AV362" s="28" t="str">
        <f aca="false">IF(AU362="","",$A362+VLOOKUP(AR362,Schichten!$A$5:$G$24,4,FALSE())+IF(VLOOKUP(AR362,Schichten!$A$5:$G$24,4,FALSE())&lt;=VLOOKUP(AR362,Schichten!$A$5:$G$24,3,FALSE()),1,0))</f>
        <v/>
      </c>
      <c r="AW362" s="28" t="str">
        <f aca="false">IF($A362="","",IF(N(AS361)&gt;0,AV361,AW361))</f>
        <v/>
      </c>
      <c r="AX362" s="27" t="str">
        <f aca="false">IF(OR(AU362="",AW362=""),"",(AU362-AW362)*24)</f>
        <v/>
      </c>
      <c r="AY362" s="21" t="n">
        <f aca="false">IF($A362="","",IF(N(AS362)&gt;0,N(AY361)+1,0))</f>
        <v>0</v>
      </c>
      <c r="AZ362" s="21" t="n">
        <f aca="false">IF($A362="","",IF(N(AT362)&gt;0,N(AZ361)+1,0))</f>
        <v>0</v>
      </c>
      <c r="BA362" s="21" t="str">
        <f aca="false">IF($A362="","",IF(WEEKDAY($A362,2)&lt;&gt;7,"",IF(AND(OR(AU362="",N(AU362)&gt;=$A362+16/24,N(AV362)&lt;=$A362+6/24),OR(AW362="",N(AW362)&lt;=$A362+6/24)),1,0)))</f>
        <v/>
      </c>
    </row>
    <row r="363" customFormat="false" ht="15" hidden="false" customHeight="false" outlineLevel="0" collapsed="false">
      <c r="A363" s="25" t="n">
        <f aca="false">IF(YEAR(DATE(Einstellungen!$C$4,1,1)+358)=Einstellungen!$C$4,DATE(Einstellungen!$C$4,1,1)+358,"")</f>
        <v>46746</v>
      </c>
      <c r="B363" s="26" t="str">
        <f aca="false">IF($A363="","",CHOOSE(WEEKDAY($A363,2),"Mo","Di","Mi","Do","Fr","Sa","So"))</f>
        <v>Sa</v>
      </c>
      <c r="C363" s="26" t="n">
        <f aca="false">IF($A363="","",MONTH($A363))</f>
        <v>12</v>
      </c>
      <c r="D363" s="26" t="str">
        <f aca="false">IF($A363="","",IF(INDEX(Muster!$C$6:$BF$6,1,MOD($A363-Einstellungen!$C$6,Einstellungen!$C$7)+1)="","-",INDEX(Muster!$C$6:$BF$6,1,MOD($A363-Einstellungen!$C$6,Einstellungen!$C$7)+1)))</f>
        <v>S</v>
      </c>
      <c r="E363" s="27" t="n">
        <f aca="false">IF($A363="","",IFERROR(VLOOKUP(D363,Schichten!$A$5:$G$24,6,FALSE()),0))</f>
        <v>8</v>
      </c>
      <c r="F363" s="27" t="n">
        <f aca="false">IF($A363="","",IFERROR(VLOOKUP(D363,Schichten!$A$5:$G$24,7,FALSE()),0))</f>
        <v>0</v>
      </c>
      <c r="G363" s="28" t="n">
        <f aca="false">IF($A363="","",IF(N(E363)=0,"",$A363+VLOOKUP(D363,Schichten!$A$5:$G$24,3,FALSE())))</f>
        <v>46746.5833333333</v>
      </c>
      <c r="H363" s="28" t="n">
        <f aca="false">IF(G363="","",$A363+VLOOKUP(D363,Schichten!$A$5:$G$24,4,FALSE())+IF(VLOOKUP(D363,Schichten!$A$5:$G$24,4,FALSE())&lt;=VLOOKUP(D363,Schichten!$A$5:$G$24,3,FALSE()),1,0))</f>
        <v>46746.9166666667</v>
      </c>
      <c r="I363" s="28" t="n">
        <f aca="false">IF($A363="","",IF(N(E362)&gt;0,H362,I362))</f>
        <v>46745.9166666667</v>
      </c>
      <c r="J363" s="27" t="n">
        <f aca="false">IF(OR(G363="",I363=""),"",(G363-I363)*24)</f>
        <v>16</v>
      </c>
      <c r="K363" s="21" t="n">
        <f aca="false">IF($A363="","",IF(N(E363)&gt;0,N(K362)+1,0))</f>
        <v>4</v>
      </c>
      <c r="L363" s="21" t="n">
        <f aca="false">IF($A363="","",IF(N(F363)&gt;0,N(L362)+1,0))</f>
        <v>0</v>
      </c>
      <c r="M363" s="21" t="str">
        <f aca="false">IF($A363="","",IF(WEEKDAY($A363,2)&lt;&gt;7,"",IF(AND(OR(G363="",N(G363)&gt;=$A363+16/24,N(H363)&lt;=$A363+6/24),OR(I363="",N(I363)&lt;=$A363+6/24)),1,0)))</f>
        <v/>
      </c>
      <c r="N363" s="26" t="str">
        <f aca="false">IF($A363="","",IF(INDEX(Muster!$C$7:$BF$7,1,MOD($A363-Einstellungen!$C$6,Einstellungen!$C$7)+1)="","-",INDEX(Muster!$C$7:$BF$7,1,MOD($A363-Einstellungen!$C$6,Einstellungen!$C$7)+1)))</f>
        <v>F</v>
      </c>
      <c r="O363" s="27" t="n">
        <f aca="false">IF($A363="","",IFERROR(VLOOKUP(N363,Schichten!$A$5:$G$24,6,FALSE()),0))</f>
        <v>8</v>
      </c>
      <c r="P363" s="27" t="n">
        <f aca="false">IF($A363="","",IFERROR(VLOOKUP(N363,Schichten!$A$5:$G$24,7,FALSE()),0))</f>
        <v>0</v>
      </c>
      <c r="Q363" s="28" t="n">
        <f aca="false">IF($A363="","",IF(N(O363)=0,"",$A363+VLOOKUP(N363,Schichten!$A$5:$G$24,3,FALSE())))</f>
        <v>46746.25</v>
      </c>
      <c r="R363" s="28" t="n">
        <f aca="false">IF(Q363="","",$A363+VLOOKUP(N363,Schichten!$A$5:$G$24,4,FALSE())+IF(VLOOKUP(N363,Schichten!$A$5:$G$24,4,FALSE())&lt;=VLOOKUP(N363,Schichten!$A$5:$G$24,3,FALSE()),1,0))</f>
        <v>46746.5833333333</v>
      </c>
      <c r="S363" s="28" t="n">
        <f aca="false">IF($A363="","",IF(N(O362)&gt;0,R362,S362))</f>
        <v>46745.5833333333</v>
      </c>
      <c r="T363" s="27" t="n">
        <f aca="false">IF(OR(Q363="",S363=""),"",(Q363-S363)*24)</f>
        <v>16</v>
      </c>
      <c r="U363" s="21" t="n">
        <f aca="false">IF($A363="","",IF(N(O363)&gt;0,N(U362)+1,0))</f>
        <v>2</v>
      </c>
      <c r="V363" s="21" t="n">
        <f aca="false">IF($A363="","",IF(N(P363)&gt;0,N(V362)+1,0))</f>
        <v>0</v>
      </c>
      <c r="W363" s="21" t="str">
        <f aca="false">IF($A363="","",IF(WEEKDAY($A363,2)&lt;&gt;7,"",IF(AND(OR(Q363="",N(Q363)&gt;=$A363+16/24,N(R363)&lt;=$A363+6/24),OR(S363="",N(S363)&lt;=$A363+6/24)),1,0)))</f>
        <v/>
      </c>
      <c r="X363" s="26" t="str">
        <f aca="false">IF($A363="","",IF(INDEX(Muster!$C$8:$BF$8,1,MOD($A363-Einstellungen!$C$6,Einstellungen!$C$7)+1)="","-",INDEX(Muster!$C$8:$BF$8,1,MOD($A363-Einstellungen!$C$6,Einstellungen!$C$7)+1)))</f>
        <v>-</v>
      </c>
      <c r="Y363" s="27" t="n">
        <f aca="false">IF($A363="","",IFERROR(VLOOKUP(X363,Schichten!$A$5:$G$24,6,FALSE()),0))</f>
        <v>0</v>
      </c>
      <c r="Z363" s="27" t="n">
        <f aca="false">IF($A363="","",IFERROR(VLOOKUP(X363,Schichten!$A$5:$G$24,7,FALSE()),0))</f>
        <v>0</v>
      </c>
      <c r="AA363" s="28" t="str">
        <f aca="false">IF($A363="","",IF(N(Y363)=0,"",$A363+VLOOKUP(X363,Schichten!$A$5:$G$24,3,FALSE())))</f>
        <v/>
      </c>
      <c r="AB363" s="28" t="str">
        <f aca="false">IF(AA363="","",$A363+VLOOKUP(X363,Schichten!$A$5:$G$24,4,FALSE())+IF(VLOOKUP(X363,Schichten!$A$5:$G$24,4,FALSE())&lt;=VLOOKUP(X363,Schichten!$A$5:$G$24,3,FALSE()),1,0))</f>
        <v/>
      </c>
      <c r="AC363" s="28" t="n">
        <f aca="false">IF($A363="","",IF(N(Y362)&gt;0,AB362,AC362))</f>
        <v>46745.25</v>
      </c>
      <c r="AD363" s="27" t="str">
        <f aca="false">IF(OR(AA363="",AC363=""),"",(AA363-AC363)*24)</f>
        <v/>
      </c>
      <c r="AE363" s="21" t="n">
        <f aca="false">IF($A363="","",IF(N(Y363)&gt;0,N(AE362)+1,0))</f>
        <v>0</v>
      </c>
      <c r="AF363" s="21" t="n">
        <f aca="false">IF($A363="","",IF(N(Z363)&gt;0,N(AF362)+1,0))</f>
        <v>0</v>
      </c>
      <c r="AG363" s="21" t="str">
        <f aca="false">IF($A363="","",IF(WEEKDAY($A363,2)&lt;&gt;7,"",IF(AND(OR(AA363="",N(AA363)&gt;=$A363+16/24,N(AB363)&lt;=$A363+6/24),OR(AC363="",N(AC363)&lt;=$A363+6/24)),1,0)))</f>
        <v/>
      </c>
      <c r="AH363" s="26" t="str">
        <f aca="false">IF($A363="","",IF(INDEX(Muster!$C$9:$BF$9,1,MOD($A363-Einstellungen!$C$6,Einstellungen!$C$7)+1)="","-",INDEX(Muster!$C$9:$BF$9,1,MOD($A363-Einstellungen!$C$6,Einstellungen!$C$7)+1)))</f>
        <v>N</v>
      </c>
      <c r="AI363" s="27" t="n">
        <f aca="false">IF($A363="","",IFERROR(VLOOKUP(AH363,Schichten!$A$5:$G$24,6,FALSE()),0))</f>
        <v>8</v>
      </c>
      <c r="AJ363" s="27" t="n">
        <f aca="false">IF($A363="","",IFERROR(VLOOKUP(AH363,Schichten!$A$5:$G$24,7,FALSE()),0))</f>
        <v>7</v>
      </c>
      <c r="AK363" s="28" t="n">
        <f aca="false">IF($A363="","",IF(N(AI363)=0,"",$A363+VLOOKUP(AH363,Schichten!$A$5:$G$24,3,FALSE())))</f>
        <v>46746.9166666667</v>
      </c>
      <c r="AL363" s="28" t="n">
        <f aca="false">IF(AK363="","",$A363+VLOOKUP(AH363,Schichten!$A$5:$G$24,4,FALSE())+IF(VLOOKUP(AH363,Schichten!$A$5:$G$24,4,FALSE())&lt;=VLOOKUP(AH363,Schichten!$A$5:$G$24,3,FALSE()),1,0))</f>
        <v>46747.25</v>
      </c>
      <c r="AM363" s="28" t="n">
        <f aca="false">IF($A363="","",IF(N(AI362)&gt;0,AL362,AM362))</f>
        <v>46746.25</v>
      </c>
      <c r="AN363" s="27" t="n">
        <f aca="false">IF(OR(AK363="",AM363=""),"",(AK363-AM363)*24)</f>
        <v>16</v>
      </c>
      <c r="AO363" s="21" t="n">
        <f aca="false">IF($A363="","",IF(N(AI363)&gt;0,N(AO362)+1,0))</f>
        <v>6</v>
      </c>
      <c r="AP363" s="21" t="n">
        <f aca="false">IF($A363="","",IF(N(AJ363)&gt;0,N(AP362)+1,0))</f>
        <v>2</v>
      </c>
      <c r="AQ363" s="21" t="str">
        <f aca="false">IF($A363="","",IF(WEEKDAY($A363,2)&lt;&gt;7,"",IF(AND(OR(AK363="",N(AK363)&gt;=$A363+16/24,N(AL363)&lt;=$A363+6/24),OR(AM363="",N(AM363)&lt;=$A363+6/24)),1,0)))</f>
        <v/>
      </c>
      <c r="AR363" s="26" t="str">
        <f aca="false">IF($A363="","",IF(INDEX(Muster!$C$10:$BF$10,1,MOD($A363-Einstellungen!$C$6,Einstellungen!$C$7)+1)="","-",INDEX(Muster!$C$10:$BF$10,1,MOD($A363-Einstellungen!$C$6,Einstellungen!$C$7)+1)))</f>
        <v>-</v>
      </c>
      <c r="AS363" s="27" t="n">
        <f aca="false">IF($A363="","",IFERROR(VLOOKUP(AR363,Schichten!$A$5:$G$24,6,FALSE()),0))</f>
        <v>0</v>
      </c>
      <c r="AT363" s="27" t="n">
        <f aca="false">IF($A363="","",IFERROR(VLOOKUP(AR363,Schichten!$A$5:$G$24,7,FALSE()),0))</f>
        <v>0</v>
      </c>
      <c r="AU363" s="28" t="str">
        <f aca="false">IF($A363="","",IF(N(AS363)=0,"",$A363+VLOOKUP(AR363,Schichten!$A$5:$G$24,3,FALSE())))</f>
        <v/>
      </c>
      <c r="AV363" s="28" t="str">
        <f aca="false">IF(AU363="","",$A363+VLOOKUP(AR363,Schichten!$A$5:$G$24,4,FALSE())+IF(VLOOKUP(AR363,Schichten!$A$5:$G$24,4,FALSE())&lt;=VLOOKUP(AR363,Schichten!$A$5:$G$24,3,FALSE()),1,0))</f>
        <v/>
      </c>
      <c r="AW363" s="28" t="str">
        <f aca="false">IF($A363="","",IF(N(AS362)&gt;0,AV362,AW362))</f>
        <v/>
      </c>
      <c r="AX363" s="27" t="str">
        <f aca="false">IF(OR(AU363="",AW363=""),"",(AU363-AW363)*24)</f>
        <v/>
      </c>
      <c r="AY363" s="21" t="n">
        <f aca="false">IF($A363="","",IF(N(AS363)&gt;0,N(AY362)+1,0))</f>
        <v>0</v>
      </c>
      <c r="AZ363" s="21" t="n">
        <f aca="false">IF($A363="","",IF(N(AT363)&gt;0,N(AZ362)+1,0))</f>
        <v>0</v>
      </c>
      <c r="BA363" s="21" t="str">
        <f aca="false">IF($A363="","",IF(WEEKDAY($A363,2)&lt;&gt;7,"",IF(AND(OR(AU363="",N(AU363)&gt;=$A363+16/24,N(AV363)&lt;=$A363+6/24),OR(AW363="",N(AW363)&lt;=$A363+6/24)),1,0)))</f>
        <v/>
      </c>
    </row>
    <row r="364" customFormat="false" ht="15" hidden="false" customHeight="false" outlineLevel="0" collapsed="false">
      <c r="A364" s="25" t="n">
        <f aca="false">IF(YEAR(DATE(Einstellungen!$C$4,1,1)+359)=Einstellungen!$C$4,DATE(Einstellungen!$C$4,1,1)+359,"")</f>
        <v>46747</v>
      </c>
      <c r="B364" s="26" t="str">
        <f aca="false">IF($A364="","",CHOOSE(WEEKDAY($A364,2),"Mo","Di","Mi","Do","Fr","Sa","So"))</f>
        <v>So</v>
      </c>
      <c r="C364" s="26" t="n">
        <f aca="false">IF($A364="","",MONTH($A364))</f>
        <v>12</v>
      </c>
      <c r="D364" s="26" t="str">
        <f aca="false">IF($A364="","",IF(INDEX(Muster!$C$6:$BF$6,1,MOD($A364-Einstellungen!$C$6,Einstellungen!$C$7)+1)="","-",INDEX(Muster!$C$6:$BF$6,1,MOD($A364-Einstellungen!$C$6,Einstellungen!$C$7)+1)))</f>
        <v>N</v>
      </c>
      <c r="E364" s="27" t="n">
        <f aca="false">IF($A364="","",IFERROR(VLOOKUP(D364,Schichten!$A$5:$G$24,6,FALSE()),0))</f>
        <v>8</v>
      </c>
      <c r="F364" s="27" t="n">
        <f aca="false">IF($A364="","",IFERROR(VLOOKUP(D364,Schichten!$A$5:$G$24,7,FALSE()),0))</f>
        <v>7</v>
      </c>
      <c r="G364" s="28" t="n">
        <f aca="false">IF($A364="","",IF(N(E364)=0,"",$A364+VLOOKUP(D364,Schichten!$A$5:$G$24,3,FALSE())))</f>
        <v>46747.9166666667</v>
      </c>
      <c r="H364" s="28" t="n">
        <f aca="false">IF(G364="","",$A364+VLOOKUP(D364,Schichten!$A$5:$G$24,4,FALSE())+IF(VLOOKUP(D364,Schichten!$A$5:$G$24,4,FALSE())&lt;=VLOOKUP(D364,Schichten!$A$5:$G$24,3,FALSE()),1,0))</f>
        <v>46748.25</v>
      </c>
      <c r="I364" s="28" t="n">
        <f aca="false">IF($A364="","",IF(N(E363)&gt;0,H363,I363))</f>
        <v>46746.9166666667</v>
      </c>
      <c r="J364" s="27" t="n">
        <f aca="false">IF(OR(G364="",I364=""),"",(G364-I364)*24)</f>
        <v>24</v>
      </c>
      <c r="K364" s="21" t="n">
        <f aca="false">IF($A364="","",IF(N(E364)&gt;0,N(K363)+1,0))</f>
        <v>5</v>
      </c>
      <c r="L364" s="21" t="n">
        <f aca="false">IF($A364="","",IF(N(F364)&gt;0,N(L363)+1,0))</f>
        <v>1</v>
      </c>
      <c r="M364" s="21" t="n">
        <f aca="false">IF($A364="","",IF(WEEKDAY($A364,2)&lt;&gt;7,"",IF(AND(OR(G364="",N(G364)&gt;=$A364+16/24,N(H364)&lt;=$A364+6/24),OR(I364="",N(I364)&lt;=$A364+6/24)),1,0)))</f>
        <v>1</v>
      </c>
      <c r="N364" s="26" t="str">
        <f aca="false">IF($A364="","",IF(INDEX(Muster!$C$7:$BF$7,1,MOD($A364-Einstellungen!$C$6,Einstellungen!$C$7)+1)="","-",INDEX(Muster!$C$7:$BF$7,1,MOD($A364-Einstellungen!$C$6,Einstellungen!$C$7)+1)))</f>
        <v>S</v>
      </c>
      <c r="O364" s="27" t="n">
        <f aca="false">IF($A364="","",IFERROR(VLOOKUP(N364,Schichten!$A$5:$G$24,6,FALSE()),0))</f>
        <v>8</v>
      </c>
      <c r="P364" s="27" t="n">
        <f aca="false">IF($A364="","",IFERROR(VLOOKUP(N364,Schichten!$A$5:$G$24,7,FALSE()),0))</f>
        <v>0</v>
      </c>
      <c r="Q364" s="28" t="n">
        <f aca="false">IF($A364="","",IF(N(O364)=0,"",$A364+VLOOKUP(N364,Schichten!$A$5:$G$24,3,FALSE())))</f>
        <v>46747.5833333333</v>
      </c>
      <c r="R364" s="28" t="n">
        <f aca="false">IF(Q364="","",$A364+VLOOKUP(N364,Schichten!$A$5:$G$24,4,FALSE())+IF(VLOOKUP(N364,Schichten!$A$5:$G$24,4,FALSE())&lt;=VLOOKUP(N364,Schichten!$A$5:$G$24,3,FALSE()),1,0))</f>
        <v>46747.9166666667</v>
      </c>
      <c r="S364" s="28" t="n">
        <f aca="false">IF($A364="","",IF(N(O363)&gt;0,R363,S363))</f>
        <v>46746.5833333333</v>
      </c>
      <c r="T364" s="27" t="n">
        <f aca="false">IF(OR(Q364="",S364=""),"",(Q364-S364)*24)</f>
        <v>24</v>
      </c>
      <c r="U364" s="21" t="n">
        <f aca="false">IF($A364="","",IF(N(O364)&gt;0,N(U363)+1,0))</f>
        <v>3</v>
      </c>
      <c r="V364" s="21" t="n">
        <f aca="false">IF($A364="","",IF(N(P364)&gt;0,N(V363)+1,0))</f>
        <v>0</v>
      </c>
      <c r="W364" s="21" t="n">
        <f aca="false">IF($A364="","",IF(WEEKDAY($A364,2)&lt;&gt;7,"",IF(AND(OR(Q364="",N(Q364)&gt;=$A364+16/24,N(R364)&lt;=$A364+6/24),OR(S364="",N(S364)&lt;=$A364+6/24)),1,0)))</f>
        <v>0</v>
      </c>
      <c r="X364" s="26" t="str">
        <f aca="false">IF($A364="","",IF(INDEX(Muster!$C$8:$BF$8,1,MOD($A364-Einstellungen!$C$6,Einstellungen!$C$7)+1)="","-",INDEX(Muster!$C$8:$BF$8,1,MOD($A364-Einstellungen!$C$6,Einstellungen!$C$7)+1)))</f>
        <v>F</v>
      </c>
      <c r="Y364" s="27" t="n">
        <f aca="false">IF($A364="","",IFERROR(VLOOKUP(X364,Schichten!$A$5:$G$24,6,FALSE()),0))</f>
        <v>8</v>
      </c>
      <c r="Z364" s="27" t="n">
        <f aca="false">IF($A364="","",IFERROR(VLOOKUP(X364,Schichten!$A$5:$G$24,7,FALSE()),0))</f>
        <v>0</v>
      </c>
      <c r="AA364" s="28" t="n">
        <f aca="false">IF($A364="","",IF(N(Y364)=0,"",$A364+VLOOKUP(X364,Schichten!$A$5:$G$24,3,FALSE())))</f>
        <v>46747.25</v>
      </c>
      <c r="AB364" s="28" t="n">
        <f aca="false">IF(AA364="","",$A364+VLOOKUP(X364,Schichten!$A$5:$G$24,4,FALSE())+IF(VLOOKUP(X364,Schichten!$A$5:$G$24,4,FALSE())&lt;=VLOOKUP(X364,Schichten!$A$5:$G$24,3,FALSE()),1,0))</f>
        <v>46747.5833333333</v>
      </c>
      <c r="AC364" s="28" t="n">
        <f aca="false">IF($A364="","",IF(N(Y363)&gt;0,AB363,AC363))</f>
        <v>46745.25</v>
      </c>
      <c r="AD364" s="27" t="n">
        <f aca="false">IF(OR(AA364="",AC364=""),"",(AA364-AC364)*24)</f>
        <v>48</v>
      </c>
      <c r="AE364" s="21" t="n">
        <f aca="false">IF($A364="","",IF(N(Y364)&gt;0,N(AE363)+1,0))</f>
        <v>1</v>
      </c>
      <c r="AF364" s="21" t="n">
        <f aca="false">IF($A364="","",IF(N(Z364)&gt;0,N(AF363)+1,0))</f>
        <v>0</v>
      </c>
      <c r="AG364" s="21" t="n">
        <f aca="false">IF($A364="","",IF(WEEKDAY($A364,2)&lt;&gt;7,"",IF(AND(OR(AA364="",N(AA364)&gt;=$A364+16/24,N(AB364)&lt;=$A364+6/24),OR(AC364="",N(AC364)&lt;=$A364+6/24)),1,0)))</f>
        <v>0</v>
      </c>
      <c r="AH364" s="26" t="str">
        <f aca="false">IF($A364="","",IF(INDEX(Muster!$C$9:$BF$9,1,MOD($A364-Einstellungen!$C$6,Einstellungen!$C$7)+1)="","-",INDEX(Muster!$C$9:$BF$9,1,MOD($A364-Einstellungen!$C$6,Einstellungen!$C$7)+1)))</f>
        <v>-</v>
      </c>
      <c r="AI364" s="27" t="n">
        <f aca="false">IF($A364="","",IFERROR(VLOOKUP(AH364,Schichten!$A$5:$G$24,6,FALSE()),0))</f>
        <v>0</v>
      </c>
      <c r="AJ364" s="27" t="n">
        <f aca="false">IF($A364="","",IFERROR(VLOOKUP(AH364,Schichten!$A$5:$G$24,7,FALSE()),0))</f>
        <v>0</v>
      </c>
      <c r="AK364" s="28" t="str">
        <f aca="false">IF($A364="","",IF(N(AI364)=0,"",$A364+VLOOKUP(AH364,Schichten!$A$5:$G$24,3,FALSE())))</f>
        <v/>
      </c>
      <c r="AL364" s="28" t="str">
        <f aca="false">IF(AK364="","",$A364+VLOOKUP(AH364,Schichten!$A$5:$G$24,4,FALSE())+IF(VLOOKUP(AH364,Schichten!$A$5:$G$24,4,FALSE())&lt;=VLOOKUP(AH364,Schichten!$A$5:$G$24,3,FALSE()),1,0))</f>
        <v/>
      </c>
      <c r="AM364" s="28" t="n">
        <f aca="false">IF($A364="","",IF(N(AI363)&gt;0,AL363,AM363))</f>
        <v>46747.25</v>
      </c>
      <c r="AN364" s="27" t="str">
        <f aca="false">IF(OR(AK364="",AM364=""),"",(AK364-AM364)*24)</f>
        <v/>
      </c>
      <c r="AO364" s="21" t="n">
        <f aca="false">IF($A364="","",IF(N(AI364)&gt;0,N(AO363)+1,0))</f>
        <v>0</v>
      </c>
      <c r="AP364" s="21" t="n">
        <f aca="false">IF($A364="","",IF(N(AJ364)&gt;0,N(AP363)+1,0))</f>
        <v>0</v>
      </c>
      <c r="AQ364" s="21" t="n">
        <f aca="false">IF($A364="","",IF(WEEKDAY($A364,2)&lt;&gt;7,"",IF(AND(OR(AK364="",N(AK364)&gt;=$A364+16/24,N(AL364)&lt;=$A364+6/24),OR(AM364="",N(AM364)&lt;=$A364+6/24)),1,0)))</f>
        <v>1</v>
      </c>
      <c r="AR364" s="26" t="str">
        <f aca="false">IF($A364="","",IF(INDEX(Muster!$C$10:$BF$10,1,MOD($A364-Einstellungen!$C$6,Einstellungen!$C$7)+1)="","-",INDEX(Muster!$C$10:$BF$10,1,MOD($A364-Einstellungen!$C$6,Einstellungen!$C$7)+1)))</f>
        <v>-</v>
      </c>
      <c r="AS364" s="27" t="n">
        <f aca="false">IF($A364="","",IFERROR(VLOOKUP(AR364,Schichten!$A$5:$G$24,6,FALSE()),0))</f>
        <v>0</v>
      </c>
      <c r="AT364" s="27" t="n">
        <f aca="false">IF($A364="","",IFERROR(VLOOKUP(AR364,Schichten!$A$5:$G$24,7,FALSE()),0))</f>
        <v>0</v>
      </c>
      <c r="AU364" s="28" t="str">
        <f aca="false">IF($A364="","",IF(N(AS364)=0,"",$A364+VLOOKUP(AR364,Schichten!$A$5:$G$24,3,FALSE())))</f>
        <v/>
      </c>
      <c r="AV364" s="28" t="str">
        <f aca="false">IF(AU364="","",$A364+VLOOKUP(AR364,Schichten!$A$5:$G$24,4,FALSE())+IF(VLOOKUP(AR364,Schichten!$A$5:$G$24,4,FALSE())&lt;=VLOOKUP(AR364,Schichten!$A$5:$G$24,3,FALSE()),1,0))</f>
        <v/>
      </c>
      <c r="AW364" s="28" t="str">
        <f aca="false">IF($A364="","",IF(N(AS363)&gt;0,AV363,AW363))</f>
        <v/>
      </c>
      <c r="AX364" s="27" t="str">
        <f aca="false">IF(OR(AU364="",AW364=""),"",(AU364-AW364)*24)</f>
        <v/>
      </c>
      <c r="AY364" s="21" t="n">
        <f aca="false">IF($A364="","",IF(N(AS364)&gt;0,N(AY363)+1,0))</f>
        <v>0</v>
      </c>
      <c r="AZ364" s="21" t="n">
        <f aca="false">IF($A364="","",IF(N(AT364)&gt;0,N(AZ363)+1,0))</f>
        <v>0</v>
      </c>
      <c r="BA364" s="21" t="n">
        <f aca="false">IF($A364="","",IF(WEEKDAY($A364,2)&lt;&gt;7,"",IF(AND(OR(AU364="",N(AU364)&gt;=$A364+16/24,N(AV364)&lt;=$A364+6/24),OR(AW364="",N(AW364)&lt;=$A364+6/24)),1,0)))</f>
        <v>1</v>
      </c>
    </row>
    <row r="365" customFormat="false" ht="15" hidden="false" customHeight="false" outlineLevel="0" collapsed="false">
      <c r="A365" s="25" t="n">
        <f aca="false">IF(YEAR(DATE(Einstellungen!$C$4,1,1)+360)=Einstellungen!$C$4,DATE(Einstellungen!$C$4,1,1)+360,"")</f>
        <v>46748</v>
      </c>
      <c r="B365" s="26" t="str">
        <f aca="false">IF($A365="","",CHOOSE(WEEKDAY($A365,2),"Mo","Di","Mi","Do","Fr","Sa","So"))</f>
        <v>Mo</v>
      </c>
      <c r="C365" s="26" t="n">
        <f aca="false">IF($A365="","",MONTH($A365))</f>
        <v>12</v>
      </c>
      <c r="D365" s="26" t="str">
        <f aca="false">IF($A365="","",IF(INDEX(Muster!$C$6:$BF$6,1,MOD($A365-Einstellungen!$C$6,Einstellungen!$C$7)+1)="","-",INDEX(Muster!$C$6:$BF$6,1,MOD($A365-Einstellungen!$C$6,Einstellungen!$C$7)+1)))</f>
        <v>N</v>
      </c>
      <c r="E365" s="27" t="n">
        <f aca="false">IF($A365="","",IFERROR(VLOOKUP(D365,Schichten!$A$5:$G$24,6,FALSE()),0))</f>
        <v>8</v>
      </c>
      <c r="F365" s="27" t="n">
        <f aca="false">IF($A365="","",IFERROR(VLOOKUP(D365,Schichten!$A$5:$G$24,7,FALSE()),0))</f>
        <v>7</v>
      </c>
      <c r="G365" s="28" t="n">
        <f aca="false">IF($A365="","",IF(N(E365)=0,"",$A365+VLOOKUP(D365,Schichten!$A$5:$G$24,3,FALSE())))</f>
        <v>46748.9166666667</v>
      </c>
      <c r="H365" s="28" t="n">
        <f aca="false">IF(G365="","",$A365+VLOOKUP(D365,Schichten!$A$5:$G$24,4,FALSE())+IF(VLOOKUP(D365,Schichten!$A$5:$G$24,4,FALSE())&lt;=VLOOKUP(D365,Schichten!$A$5:$G$24,3,FALSE()),1,0))</f>
        <v>46749.25</v>
      </c>
      <c r="I365" s="28" t="n">
        <f aca="false">IF($A365="","",IF(N(E364)&gt;0,H364,I364))</f>
        <v>46748.25</v>
      </c>
      <c r="J365" s="27" t="n">
        <f aca="false">IF(OR(G365="",I365=""),"",(G365-I365)*24)</f>
        <v>16</v>
      </c>
      <c r="K365" s="21" t="n">
        <f aca="false">IF($A365="","",IF(N(E365)&gt;0,N(K364)+1,0))</f>
        <v>6</v>
      </c>
      <c r="L365" s="21" t="n">
        <f aca="false">IF($A365="","",IF(N(F365)&gt;0,N(L364)+1,0))</f>
        <v>2</v>
      </c>
      <c r="M365" s="21" t="str">
        <f aca="false">IF($A365="","",IF(WEEKDAY($A365,2)&lt;&gt;7,"",IF(AND(OR(G365="",N(G365)&gt;=$A365+16/24,N(H365)&lt;=$A365+6/24),OR(I365="",N(I365)&lt;=$A365+6/24)),1,0)))</f>
        <v/>
      </c>
      <c r="N365" s="26" t="str">
        <f aca="false">IF($A365="","",IF(INDEX(Muster!$C$7:$BF$7,1,MOD($A365-Einstellungen!$C$6,Einstellungen!$C$7)+1)="","-",INDEX(Muster!$C$7:$BF$7,1,MOD($A365-Einstellungen!$C$6,Einstellungen!$C$7)+1)))</f>
        <v>S</v>
      </c>
      <c r="O365" s="27" t="n">
        <f aca="false">IF($A365="","",IFERROR(VLOOKUP(N365,Schichten!$A$5:$G$24,6,FALSE()),0))</f>
        <v>8</v>
      </c>
      <c r="P365" s="27" t="n">
        <f aca="false">IF($A365="","",IFERROR(VLOOKUP(N365,Schichten!$A$5:$G$24,7,FALSE()),0))</f>
        <v>0</v>
      </c>
      <c r="Q365" s="28" t="n">
        <f aca="false">IF($A365="","",IF(N(O365)=0,"",$A365+VLOOKUP(N365,Schichten!$A$5:$G$24,3,FALSE())))</f>
        <v>46748.5833333333</v>
      </c>
      <c r="R365" s="28" t="n">
        <f aca="false">IF(Q365="","",$A365+VLOOKUP(N365,Schichten!$A$5:$G$24,4,FALSE())+IF(VLOOKUP(N365,Schichten!$A$5:$G$24,4,FALSE())&lt;=VLOOKUP(N365,Schichten!$A$5:$G$24,3,FALSE()),1,0))</f>
        <v>46748.9166666667</v>
      </c>
      <c r="S365" s="28" t="n">
        <f aca="false">IF($A365="","",IF(N(O364)&gt;0,R364,S364))</f>
        <v>46747.9166666667</v>
      </c>
      <c r="T365" s="27" t="n">
        <f aca="false">IF(OR(Q365="",S365=""),"",(Q365-S365)*24)</f>
        <v>16</v>
      </c>
      <c r="U365" s="21" t="n">
        <f aca="false">IF($A365="","",IF(N(O365)&gt;0,N(U364)+1,0))</f>
        <v>4</v>
      </c>
      <c r="V365" s="21" t="n">
        <f aca="false">IF($A365="","",IF(N(P365)&gt;0,N(V364)+1,0))</f>
        <v>0</v>
      </c>
      <c r="W365" s="21" t="str">
        <f aca="false">IF($A365="","",IF(WEEKDAY($A365,2)&lt;&gt;7,"",IF(AND(OR(Q365="",N(Q365)&gt;=$A365+16/24,N(R365)&lt;=$A365+6/24),OR(S365="",N(S365)&lt;=$A365+6/24)),1,0)))</f>
        <v/>
      </c>
      <c r="X365" s="26" t="str">
        <f aca="false">IF($A365="","",IF(INDEX(Muster!$C$8:$BF$8,1,MOD($A365-Einstellungen!$C$6,Einstellungen!$C$7)+1)="","-",INDEX(Muster!$C$8:$BF$8,1,MOD($A365-Einstellungen!$C$6,Einstellungen!$C$7)+1)))</f>
        <v>F</v>
      </c>
      <c r="Y365" s="27" t="n">
        <f aca="false">IF($A365="","",IFERROR(VLOOKUP(X365,Schichten!$A$5:$G$24,6,FALSE()),0))</f>
        <v>8</v>
      </c>
      <c r="Z365" s="27" t="n">
        <f aca="false">IF($A365="","",IFERROR(VLOOKUP(X365,Schichten!$A$5:$G$24,7,FALSE()),0))</f>
        <v>0</v>
      </c>
      <c r="AA365" s="28" t="n">
        <f aca="false">IF($A365="","",IF(N(Y365)=0,"",$A365+VLOOKUP(X365,Schichten!$A$5:$G$24,3,FALSE())))</f>
        <v>46748.25</v>
      </c>
      <c r="AB365" s="28" t="n">
        <f aca="false">IF(AA365="","",$A365+VLOOKUP(X365,Schichten!$A$5:$G$24,4,FALSE())+IF(VLOOKUP(X365,Schichten!$A$5:$G$24,4,FALSE())&lt;=VLOOKUP(X365,Schichten!$A$5:$G$24,3,FALSE()),1,0))</f>
        <v>46748.5833333333</v>
      </c>
      <c r="AC365" s="28" t="n">
        <f aca="false">IF($A365="","",IF(N(Y364)&gt;0,AB364,AC364))</f>
        <v>46747.5833333333</v>
      </c>
      <c r="AD365" s="27" t="n">
        <f aca="false">IF(OR(AA365="",AC365=""),"",(AA365-AC365)*24)</f>
        <v>16</v>
      </c>
      <c r="AE365" s="21" t="n">
        <f aca="false">IF($A365="","",IF(N(Y365)&gt;0,N(AE364)+1,0))</f>
        <v>2</v>
      </c>
      <c r="AF365" s="21" t="n">
        <f aca="false">IF($A365="","",IF(N(Z365)&gt;0,N(AF364)+1,0))</f>
        <v>0</v>
      </c>
      <c r="AG365" s="21" t="str">
        <f aca="false">IF($A365="","",IF(WEEKDAY($A365,2)&lt;&gt;7,"",IF(AND(OR(AA365="",N(AA365)&gt;=$A365+16/24,N(AB365)&lt;=$A365+6/24),OR(AC365="",N(AC365)&lt;=$A365+6/24)),1,0)))</f>
        <v/>
      </c>
      <c r="AH365" s="26" t="str">
        <f aca="false">IF($A365="","",IF(INDEX(Muster!$C$9:$BF$9,1,MOD($A365-Einstellungen!$C$6,Einstellungen!$C$7)+1)="","-",INDEX(Muster!$C$9:$BF$9,1,MOD($A365-Einstellungen!$C$6,Einstellungen!$C$7)+1)))</f>
        <v>-</v>
      </c>
      <c r="AI365" s="27" t="n">
        <f aca="false">IF($A365="","",IFERROR(VLOOKUP(AH365,Schichten!$A$5:$G$24,6,FALSE()),0))</f>
        <v>0</v>
      </c>
      <c r="AJ365" s="27" t="n">
        <f aca="false">IF($A365="","",IFERROR(VLOOKUP(AH365,Schichten!$A$5:$G$24,7,FALSE()),0))</f>
        <v>0</v>
      </c>
      <c r="AK365" s="28" t="str">
        <f aca="false">IF($A365="","",IF(N(AI365)=0,"",$A365+VLOOKUP(AH365,Schichten!$A$5:$G$24,3,FALSE())))</f>
        <v/>
      </c>
      <c r="AL365" s="28" t="str">
        <f aca="false">IF(AK365="","",$A365+VLOOKUP(AH365,Schichten!$A$5:$G$24,4,FALSE())+IF(VLOOKUP(AH365,Schichten!$A$5:$G$24,4,FALSE())&lt;=VLOOKUP(AH365,Schichten!$A$5:$G$24,3,FALSE()),1,0))</f>
        <v/>
      </c>
      <c r="AM365" s="28" t="n">
        <f aca="false">IF($A365="","",IF(N(AI364)&gt;0,AL364,AM364))</f>
        <v>46747.25</v>
      </c>
      <c r="AN365" s="27" t="str">
        <f aca="false">IF(OR(AK365="",AM365=""),"",(AK365-AM365)*24)</f>
        <v/>
      </c>
      <c r="AO365" s="21" t="n">
        <f aca="false">IF($A365="","",IF(N(AI365)&gt;0,N(AO364)+1,0))</f>
        <v>0</v>
      </c>
      <c r="AP365" s="21" t="n">
        <f aca="false">IF($A365="","",IF(N(AJ365)&gt;0,N(AP364)+1,0))</f>
        <v>0</v>
      </c>
      <c r="AQ365" s="21" t="str">
        <f aca="false">IF($A365="","",IF(WEEKDAY($A365,2)&lt;&gt;7,"",IF(AND(OR(AK365="",N(AK365)&gt;=$A365+16/24,N(AL365)&lt;=$A365+6/24),OR(AM365="",N(AM365)&lt;=$A365+6/24)),1,0)))</f>
        <v/>
      </c>
      <c r="AR365" s="26" t="str">
        <f aca="false">IF($A365="","",IF(INDEX(Muster!$C$10:$BF$10,1,MOD($A365-Einstellungen!$C$6,Einstellungen!$C$7)+1)="","-",INDEX(Muster!$C$10:$BF$10,1,MOD($A365-Einstellungen!$C$6,Einstellungen!$C$7)+1)))</f>
        <v>-</v>
      </c>
      <c r="AS365" s="27" t="n">
        <f aca="false">IF($A365="","",IFERROR(VLOOKUP(AR365,Schichten!$A$5:$G$24,6,FALSE()),0))</f>
        <v>0</v>
      </c>
      <c r="AT365" s="27" t="n">
        <f aca="false">IF($A365="","",IFERROR(VLOOKUP(AR365,Schichten!$A$5:$G$24,7,FALSE()),0))</f>
        <v>0</v>
      </c>
      <c r="AU365" s="28" t="str">
        <f aca="false">IF($A365="","",IF(N(AS365)=0,"",$A365+VLOOKUP(AR365,Schichten!$A$5:$G$24,3,FALSE())))</f>
        <v/>
      </c>
      <c r="AV365" s="28" t="str">
        <f aca="false">IF(AU365="","",$A365+VLOOKUP(AR365,Schichten!$A$5:$G$24,4,FALSE())+IF(VLOOKUP(AR365,Schichten!$A$5:$G$24,4,FALSE())&lt;=VLOOKUP(AR365,Schichten!$A$5:$G$24,3,FALSE()),1,0))</f>
        <v/>
      </c>
      <c r="AW365" s="28" t="str">
        <f aca="false">IF($A365="","",IF(N(AS364)&gt;0,AV364,AW364))</f>
        <v/>
      </c>
      <c r="AX365" s="27" t="str">
        <f aca="false">IF(OR(AU365="",AW365=""),"",(AU365-AW365)*24)</f>
        <v/>
      </c>
      <c r="AY365" s="21" t="n">
        <f aca="false">IF($A365="","",IF(N(AS365)&gt;0,N(AY364)+1,0))</f>
        <v>0</v>
      </c>
      <c r="AZ365" s="21" t="n">
        <f aca="false">IF($A365="","",IF(N(AT365)&gt;0,N(AZ364)+1,0))</f>
        <v>0</v>
      </c>
      <c r="BA365" s="21" t="str">
        <f aca="false">IF($A365="","",IF(WEEKDAY($A365,2)&lt;&gt;7,"",IF(AND(OR(AU365="",N(AU365)&gt;=$A365+16/24,N(AV365)&lt;=$A365+6/24),OR(AW365="",N(AW365)&lt;=$A365+6/24)),1,0)))</f>
        <v/>
      </c>
    </row>
    <row r="366" customFormat="false" ht="15" hidden="false" customHeight="false" outlineLevel="0" collapsed="false">
      <c r="A366" s="25" t="n">
        <f aca="false">IF(YEAR(DATE(Einstellungen!$C$4,1,1)+361)=Einstellungen!$C$4,DATE(Einstellungen!$C$4,1,1)+361,"")</f>
        <v>46749</v>
      </c>
      <c r="B366" s="26" t="str">
        <f aca="false">IF($A366="","",CHOOSE(WEEKDAY($A366,2),"Mo","Di","Mi","Do","Fr","Sa","So"))</f>
        <v>Di</v>
      </c>
      <c r="C366" s="26" t="n">
        <f aca="false">IF($A366="","",MONTH($A366))</f>
        <v>12</v>
      </c>
      <c r="D366" s="26" t="str">
        <f aca="false">IF($A366="","",IF(INDEX(Muster!$C$6:$BF$6,1,MOD($A366-Einstellungen!$C$6,Einstellungen!$C$7)+1)="","-",INDEX(Muster!$C$6:$BF$6,1,MOD($A366-Einstellungen!$C$6,Einstellungen!$C$7)+1)))</f>
        <v>-</v>
      </c>
      <c r="E366" s="27" t="n">
        <f aca="false">IF($A366="","",IFERROR(VLOOKUP(D366,Schichten!$A$5:$G$24,6,FALSE()),0))</f>
        <v>0</v>
      </c>
      <c r="F366" s="27" t="n">
        <f aca="false">IF($A366="","",IFERROR(VLOOKUP(D366,Schichten!$A$5:$G$24,7,FALSE()),0))</f>
        <v>0</v>
      </c>
      <c r="G366" s="28" t="str">
        <f aca="false">IF($A366="","",IF(N(E366)=0,"",$A366+VLOOKUP(D366,Schichten!$A$5:$G$24,3,FALSE())))</f>
        <v/>
      </c>
      <c r="H366" s="28" t="str">
        <f aca="false">IF(G366="","",$A366+VLOOKUP(D366,Schichten!$A$5:$G$24,4,FALSE())+IF(VLOOKUP(D366,Schichten!$A$5:$G$24,4,FALSE())&lt;=VLOOKUP(D366,Schichten!$A$5:$G$24,3,FALSE()),1,0))</f>
        <v/>
      </c>
      <c r="I366" s="28" t="n">
        <f aca="false">IF($A366="","",IF(N(E365)&gt;0,H365,I365))</f>
        <v>46749.25</v>
      </c>
      <c r="J366" s="27" t="str">
        <f aca="false">IF(OR(G366="",I366=""),"",(G366-I366)*24)</f>
        <v/>
      </c>
      <c r="K366" s="21" t="n">
        <f aca="false">IF($A366="","",IF(N(E366)&gt;0,N(K365)+1,0))</f>
        <v>0</v>
      </c>
      <c r="L366" s="21" t="n">
        <f aca="false">IF($A366="","",IF(N(F366)&gt;0,N(L365)+1,0))</f>
        <v>0</v>
      </c>
      <c r="M366" s="21" t="str">
        <f aca="false">IF($A366="","",IF(WEEKDAY($A366,2)&lt;&gt;7,"",IF(AND(OR(G366="",N(G366)&gt;=$A366+16/24,N(H366)&lt;=$A366+6/24),OR(I366="",N(I366)&lt;=$A366+6/24)),1,0)))</f>
        <v/>
      </c>
      <c r="N366" s="26" t="str">
        <f aca="false">IF($A366="","",IF(INDEX(Muster!$C$7:$BF$7,1,MOD($A366-Einstellungen!$C$6,Einstellungen!$C$7)+1)="","-",INDEX(Muster!$C$7:$BF$7,1,MOD($A366-Einstellungen!$C$6,Einstellungen!$C$7)+1)))</f>
        <v>N</v>
      </c>
      <c r="O366" s="27" t="n">
        <f aca="false">IF($A366="","",IFERROR(VLOOKUP(N366,Schichten!$A$5:$G$24,6,FALSE()),0))</f>
        <v>8</v>
      </c>
      <c r="P366" s="27" t="n">
        <f aca="false">IF($A366="","",IFERROR(VLOOKUP(N366,Schichten!$A$5:$G$24,7,FALSE()),0))</f>
        <v>7</v>
      </c>
      <c r="Q366" s="28" t="n">
        <f aca="false">IF($A366="","",IF(N(O366)=0,"",$A366+VLOOKUP(N366,Schichten!$A$5:$G$24,3,FALSE())))</f>
        <v>46749.9166666667</v>
      </c>
      <c r="R366" s="28" t="n">
        <f aca="false">IF(Q366="","",$A366+VLOOKUP(N366,Schichten!$A$5:$G$24,4,FALSE())+IF(VLOOKUP(N366,Schichten!$A$5:$G$24,4,FALSE())&lt;=VLOOKUP(N366,Schichten!$A$5:$G$24,3,FALSE()),1,0))</f>
        <v>46750.25</v>
      </c>
      <c r="S366" s="28" t="n">
        <f aca="false">IF($A366="","",IF(N(O365)&gt;0,R365,S365))</f>
        <v>46748.9166666667</v>
      </c>
      <c r="T366" s="27" t="n">
        <f aca="false">IF(OR(Q366="",S366=""),"",(Q366-S366)*24)</f>
        <v>24</v>
      </c>
      <c r="U366" s="21" t="n">
        <f aca="false">IF($A366="","",IF(N(O366)&gt;0,N(U365)+1,0))</f>
        <v>5</v>
      </c>
      <c r="V366" s="21" t="n">
        <f aca="false">IF($A366="","",IF(N(P366)&gt;0,N(V365)+1,0))</f>
        <v>1</v>
      </c>
      <c r="W366" s="21" t="str">
        <f aca="false">IF($A366="","",IF(WEEKDAY($A366,2)&lt;&gt;7,"",IF(AND(OR(Q366="",N(Q366)&gt;=$A366+16/24,N(R366)&lt;=$A366+6/24),OR(S366="",N(S366)&lt;=$A366+6/24)),1,0)))</f>
        <v/>
      </c>
      <c r="X366" s="26" t="str">
        <f aca="false">IF($A366="","",IF(INDEX(Muster!$C$8:$BF$8,1,MOD($A366-Einstellungen!$C$6,Einstellungen!$C$7)+1)="","-",INDEX(Muster!$C$8:$BF$8,1,MOD($A366-Einstellungen!$C$6,Einstellungen!$C$7)+1)))</f>
        <v>S</v>
      </c>
      <c r="Y366" s="27" t="n">
        <f aca="false">IF($A366="","",IFERROR(VLOOKUP(X366,Schichten!$A$5:$G$24,6,FALSE()),0))</f>
        <v>8</v>
      </c>
      <c r="Z366" s="27" t="n">
        <f aca="false">IF($A366="","",IFERROR(VLOOKUP(X366,Schichten!$A$5:$G$24,7,FALSE()),0))</f>
        <v>0</v>
      </c>
      <c r="AA366" s="28" t="n">
        <f aca="false">IF($A366="","",IF(N(Y366)=0,"",$A366+VLOOKUP(X366,Schichten!$A$5:$G$24,3,FALSE())))</f>
        <v>46749.5833333333</v>
      </c>
      <c r="AB366" s="28" t="n">
        <f aca="false">IF(AA366="","",$A366+VLOOKUP(X366,Schichten!$A$5:$G$24,4,FALSE())+IF(VLOOKUP(X366,Schichten!$A$5:$G$24,4,FALSE())&lt;=VLOOKUP(X366,Schichten!$A$5:$G$24,3,FALSE()),1,0))</f>
        <v>46749.9166666667</v>
      </c>
      <c r="AC366" s="28" t="n">
        <f aca="false">IF($A366="","",IF(N(Y365)&gt;0,AB365,AC365))</f>
        <v>46748.5833333333</v>
      </c>
      <c r="AD366" s="27" t="n">
        <f aca="false">IF(OR(AA366="",AC366=""),"",(AA366-AC366)*24)</f>
        <v>24</v>
      </c>
      <c r="AE366" s="21" t="n">
        <f aca="false">IF($A366="","",IF(N(Y366)&gt;0,N(AE365)+1,0))</f>
        <v>3</v>
      </c>
      <c r="AF366" s="21" t="n">
        <f aca="false">IF($A366="","",IF(N(Z366)&gt;0,N(AF365)+1,0))</f>
        <v>0</v>
      </c>
      <c r="AG366" s="21" t="str">
        <f aca="false">IF($A366="","",IF(WEEKDAY($A366,2)&lt;&gt;7,"",IF(AND(OR(AA366="",N(AA366)&gt;=$A366+16/24,N(AB366)&lt;=$A366+6/24),OR(AC366="",N(AC366)&lt;=$A366+6/24)),1,0)))</f>
        <v/>
      </c>
      <c r="AH366" s="26" t="str">
        <f aca="false">IF($A366="","",IF(INDEX(Muster!$C$9:$BF$9,1,MOD($A366-Einstellungen!$C$6,Einstellungen!$C$7)+1)="","-",INDEX(Muster!$C$9:$BF$9,1,MOD($A366-Einstellungen!$C$6,Einstellungen!$C$7)+1)))</f>
        <v>F</v>
      </c>
      <c r="AI366" s="27" t="n">
        <f aca="false">IF($A366="","",IFERROR(VLOOKUP(AH366,Schichten!$A$5:$G$24,6,FALSE()),0))</f>
        <v>8</v>
      </c>
      <c r="AJ366" s="27" t="n">
        <f aca="false">IF($A366="","",IFERROR(VLOOKUP(AH366,Schichten!$A$5:$G$24,7,FALSE()),0))</f>
        <v>0</v>
      </c>
      <c r="AK366" s="28" t="n">
        <f aca="false">IF($A366="","",IF(N(AI366)=0,"",$A366+VLOOKUP(AH366,Schichten!$A$5:$G$24,3,FALSE())))</f>
        <v>46749.25</v>
      </c>
      <c r="AL366" s="28" t="n">
        <f aca="false">IF(AK366="","",$A366+VLOOKUP(AH366,Schichten!$A$5:$G$24,4,FALSE())+IF(VLOOKUP(AH366,Schichten!$A$5:$G$24,4,FALSE())&lt;=VLOOKUP(AH366,Schichten!$A$5:$G$24,3,FALSE()),1,0))</f>
        <v>46749.5833333333</v>
      </c>
      <c r="AM366" s="28" t="n">
        <f aca="false">IF($A366="","",IF(N(AI365)&gt;0,AL365,AM365))</f>
        <v>46747.25</v>
      </c>
      <c r="AN366" s="27" t="n">
        <f aca="false">IF(OR(AK366="",AM366=""),"",(AK366-AM366)*24)</f>
        <v>48</v>
      </c>
      <c r="AO366" s="21" t="n">
        <f aca="false">IF($A366="","",IF(N(AI366)&gt;0,N(AO365)+1,0))</f>
        <v>1</v>
      </c>
      <c r="AP366" s="21" t="n">
        <f aca="false">IF($A366="","",IF(N(AJ366)&gt;0,N(AP365)+1,0))</f>
        <v>0</v>
      </c>
      <c r="AQ366" s="21" t="str">
        <f aca="false">IF($A366="","",IF(WEEKDAY($A366,2)&lt;&gt;7,"",IF(AND(OR(AK366="",N(AK366)&gt;=$A366+16/24,N(AL366)&lt;=$A366+6/24),OR(AM366="",N(AM366)&lt;=$A366+6/24)),1,0)))</f>
        <v/>
      </c>
      <c r="AR366" s="26" t="str">
        <f aca="false">IF($A366="","",IF(INDEX(Muster!$C$10:$BF$10,1,MOD($A366-Einstellungen!$C$6,Einstellungen!$C$7)+1)="","-",INDEX(Muster!$C$10:$BF$10,1,MOD($A366-Einstellungen!$C$6,Einstellungen!$C$7)+1)))</f>
        <v>-</v>
      </c>
      <c r="AS366" s="27" t="n">
        <f aca="false">IF($A366="","",IFERROR(VLOOKUP(AR366,Schichten!$A$5:$G$24,6,FALSE()),0))</f>
        <v>0</v>
      </c>
      <c r="AT366" s="27" t="n">
        <f aca="false">IF($A366="","",IFERROR(VLOOKUP(AR366,Schichten!$A$5:$G$24,7,FALSE()),0))</f>
        <v>0</v>
      </c>
      <c r="AU366" s="28" t="str">
        <f aca="false">IF($A366="","",IF(N(AS366)=0,"",$A366+VLOOKUP(AR366,Schichten!$A$5:$G$24,3,FALSE())))</f>
        <v/>
      </c>
      <c r="AV366" s="28" t="str">
        <f aca="false">IF(AU366="","",$A366+VLOOKUP(AR366,Schichten!$A$5:$G$24,4,FALSE())+IF(VLOOKUP(AR366,Schichten!$A$5:$G$24,4,FALSE())&lt;=VLOOKUP(AR366,Schichten!$A$5:$G$24,3,FALSE()),1,0))</f>
        <v/>
      </c>
      <c r="AW366" s="28" t="str">
        <f aca="false">IF($A366="","",IF(N(AS365)&gt;0,AV365,AW365))</f>
        <v/>
      </c>
      <c r="AX366" s="27" t="str">
        <f aca="false">IF(OR(AU366="",AW366=""),"",(AU366-AW366)*24)</f>
        <v/>
      </c>
      <c r="AY366" s="21" t="n">
        <f aca="false">IF($A366="","",IF(N(AS366)&gt;0,N(AY365)+1,0))</f>
        <v>0</v>
      </c>
      <c r="AZ366" s="21" t="n">
        <f aca="false">IF($A366="","",IF(N(AT366)&gt;0,N(AZ365)+1,0))</f>
        <v>0</v>
      </c>
      <c r="BA366" s="21" t="str">
        <f aca="false">IF($A366="","",IF(WEEKDAY($A366,2)&lt;&gt;7,"",IF(AND(OR(AU366="",N(AU366)&gt;=$A366+16/24,N(AV366)&lt;=$A366+6/24),OR(AW366="",N(AW366)&lt;=$A366+6/24)),1,0)))</f>
        <v/>
      </c>
    </row>
    <row r="367" customFormat="false" ht="15" hidden="false" customHeight="false" outlineLevel="0" collapsed="false">
      <c r="A367" s="25" t="n">
        <f aca="false">IF(YEAR(DATE(Einstellungen!$C$4,1,1)+362)=Einstellungen!$C$4,DATE(Einstellungen!$C$4,1,1)+362,"")</f>
        <v>46750</v>
      </c>
      <c r="B367" s="26" t="str">
        <f aca="false">IF($A367="","",CHOOSE(WEEKDAY($A367,2),"Mo","Di","Mi","Do","Fr","Sa","So"))</f>
        <v>Mi</v>
      </c>
      <c r="C367" s="26" t="n">
        <f aca="false">IF($A367="","",MONTH($A367))</f>
        <v>12</v>
      </c>
      <c r="D367" s="26" t="str">
        <f aca="false">IF($A367="","",IF(INDEX(Muster!$C$6:$BF$6,1,MOD($A367-Einstellungen!$C$6,Einstellungen!$C$7)+1)="","-",INDEX(Muster!$C$6:$BF$6,1,MOD($A367-Einstellungen!$C$6,Einstellungen!$C$7)+1)))</f>
        <v>-</v>
      </c>
      <c r="E367" s="27" t="n">
        <f aca="false">IF($A367="","",IFERROR(VLOOKUP(D367,Schichten!$A$5:$G$24,6,FALSE()),0))</f>
        <v>0</v>
      </c>
      <c r="F367" s="27" t="n">
        <f aca="false">IF($A367="","",IFERROR(VLOOKUP(D367,Schichten!$A$5:$G$24,7,FALSE()),0))</f>
        <v>0</v>
      </c>
      <c r="G367" s="28" t="str">
        <f aca="false">IF($A367="","",IF(N(E367)=0,"",$A367+VLOOKUP(D367,Schichten!$A$5:$G$24,3,FALSE())))</f>
        <v/>
      </c>
      <c r="H367" s="28" t="str">
        <f aca="false">IF(G367="","",$A367+VLOOKUP(D367,Schichten!$A$5:$G$24,4,FALSE())+IF(VLOOKUP(D367,Schichten!$A$5:$G$24,4,FALSE())&lt;=VLOOKUP(D367,Schichten!$A$5:$G$24,3,FALSE()),1,0))</f>
        <v/>
      </c>
      <c r="I367" s="28" t="n">
        <f aca="false">IF($A367="","",IF(N(E366)&gt;0,H366,I366))</f>
        <v>46749.25</v>
      </c>
      <c r="J367" s="27" t="str">
        <f aca="false">IF(OR(G367="",I367=""),"",(G367-I367)*24)</f>
        <v/>
      </c>
      <c r="K367" s="21" t="n">
        <f aca="false">IF($A367="","",IF(N(E367)&gt;0,N(K366)+1,0))</f>
        <v>0</v>
      </c>
      <c r="L367" s="21" t="n">
        <f aca="false">IF($A367="","",IF(N(F367)&gt;0,N(L366)+1,0))</f>
        <v>0</v>
      </c>
      <c r="M367" s="21" t="str">
        <f aca="false">IF($A367="","",IF(WEEKDAY($A367,2)&lt;&gt;7,"",IF(AND(OR(G367="",N(G367)&gt;=$A367+16/24,N(H367)&lt;=$A367+6/24),OR(I367="",N(I367)&lt;=$A367+6/24)),1,0)))</f>
        <v/>
      </c>
      <c r="N367" s="26" t="str">
        <f aca="false">IF($A367="","",IF(INDEX(Muster!$C$7:$BF$7,1,MOD($A367-Einstellungen!$C$6,Einstellungen!$C$7)+1)="","-",INDEX(Muster!$C$7:$BF$7,1,MOD($A367-Einstellungen!$C$6,Einstellungen!$C$7)+1)))</f>
        <v>N</v>
      </c>
      <c r="O367" s="27" t="n">
        <f aca="false">IF($A367="","",IFERROR(VLOOKUP(N367,Schichten!$A$5:$G$24,6,FALSE()),0))</f>
        <v>8</v>
      </c>
      <c r="P367" s="27" t="n">
        <f aca="false">IF($A367="","",IFERROR(VLOOKUP(N367,Schichten!$A$5:$G$24,7,FALSE()),0))</f>
        <v>7</v>
      </c>
      <c r="Q367" s="28" t="n">
        <f aca="false">IF($A367="","",IF(N(O367)=0,"",$A367+VLOOKUP(N367,Schichten!$A$5:$G$24,3,FALSE())))</f>
        <v>46750.9166666667</v>
      </c>
      <c r="R367" s="28" t="n">
        <f aca="false">IF(Q367="","",$A367+VLOOKUP(N367,Schichten!$A$5:$G$24,4,FALSE())+IF(VLOOKUP(N367,Schichten!$A$5:$G$24,4,FALSE())&lt;=VLOOKUP(N367,Schichten!$A$5:$G$24,3,FALSE()),1,0))</f>
        <v>46751.25</v>
      </c>
      <c r="S367" s="28" t="n">
        <f aca="false">IF($A367="","",IF(N(O366)&gt;0,R366,S366))</f>
        <v>46750.25</v>
      </c>
      <c r="T367" s="27" t="n">
        <f aca="false">IF(OR(Q367="",S367=""),"",(Q367-S367)*24)</f>
        <v>16</v>
      </c>
      <c r="U367" s="21" t="n">
        <f aca="false">IF($A367="","",IF(N(O367)&gt;0,N(U366)+1,0))</f>
        <v>6</v>
      </c>
      <c r="V367" s="21" t="n">
        <f aca="false">IF($A367="","",IF(N(P367)&gt;0,N(V366)+1,0))</f>
        <v>2</v>
      </c>
      <c r="W367" s="21" t="str">
        <f aca="false">IF($A367="","",IF(WEEKDAY($A367,2)&lt;&gt;7,"",IF(AND(OR(Q367="",N(Q367)&gt;=$A367+16/24,N(R367)&lt;=$A367+6/24),OR(S367="",N(S367)&lt;=$A367+6/24)),1,0)))</f>
        <v/>
      </c>
      <c r="X367" s="26" t="str">
        <f aca="false">IF($A367="","",IF(INDEX(Muster!$C$8:$BF$8,1,MOD($A367-Einstellungen!$C$6,Einstellungen!$C$7)+1)="","-",INDEX(Muster!$C$8:$BF$8,1,MOD($A367-Einstellungen!$C$6,Einstellungen!$C$7)+1)))</f>
        <v>S</v>
      </c>
      <c r="Y367" s="27" t="n">
        <f aca="false">IF($A367="","",IFERROR(VLOOKUP(X367,Schichten!$A$5:$G$24,6,FALSE()),0))</f>
        <v>8</v>
      </c>
      <c r="Z367" s="27" t="n">
        <f aca="false">IF($A367="","",IFERROR(VLOOKUP(X367,Schichten!$A$5:$G$24,7,FALSE()),0))</f>
        <v>0</v>
      </c>
      <c r="AA367" s="28" t="n">
        <f aca="false">IF($A367="","",IF(N(Y367)=0,"",$A367+VLOOKUP(X367,Schichten!$A$5:$G$24,3,FALSE())))</f>
        <v>46750.5833333333</v>
      </c>
      <c r="AB367" s="28" t="n">
        <f aca="false">IF(AA367="","",$A367+VLOOKUP(X367,Schichten!$A$5:$G$24,4,FALSE())+IF(VLOOKUP(X367,Schichten!$A$5:$G$24,4,FALSE())&lt;=VLOOKUP(X367,Schichten!$A$5:$G$24,3,FALSE()),1,0))</f>
        <v>46750.9166666667</v>
      </c>
      <c r="AC367" s="28" t="n">
        <f aca="false">IF($A367="","",IF(N(Y366)&gt;0,AB366,AC366))</f>
        <v>46749.9166666667</v>
      </c>
      <c r="AD367" s="27" t="n">
        <f aca="false">IF(OR(AA367="",AC367=""),"",(AA367-AC367)*24)</f>
        <v>16</v>
      </c>
      <c r="AE367" s="21" t="n">
        <f aca="false">IF($A367="","",IF(N(Y367)&gt;0,N(AE366)+1,0))</f>
        <v>4</v>
      </c>
      <c r="AF367" s="21" t="n">
        <f aca="false">IF($A367="","",IF(N(Z367)&gt;0,N(AF366)+1,0))</f>
        <v>0</v>
      </c>
      <c r="AG367" s="21" t="str">
        <f aca="false">IF($A367="","",IF(WEEKDAY($A367,2)&lt;&gt;7,"",IF(AND(OR(AA367="",N(AA367)&gt;=$A367+16/24,N(AB367)&lt;=$A367+6/24),OR(AC367="",N(AC367)&lt;=$A367+6/24)),1,0)))</f>
        <v/>
      </c>
      <c r="AH367" s="26" t="str">
        <f aca="false">IF($A367="","",IF(INDEX(Muster!$C$9:$BF$9,1,MOD($A367-Einstellungen!$C$6,Einstellungen!$C$7)+1)="","-",INDEX(Muster!$C$9:$BF$9,1,MOD($A367-Einstellungen!$C$6,Einstellungen!$C$7)+1)))</f>
        <v>F</v>
      </c>
      <c r="AI367" s="27" t="n">
        <f aca="false">IF($A367="","",IFERROR(VLOOKUP(AH367,Schichten!$A$5:$G$24,6,FALSE()),0))</f>
        <v>8</v>
      </c>
      <c r="AJ367" s="27" t="n">
        <f aca="false">IF($A367="","",IFERROR(VLOOKUP(AH367,Schichten!$A$5:$G$24,7,FALSE()),0))</f>
        <v>0</v>
      </c>
      <c r="AK367" s="28" t="n">
        <f aca="false">IF($A367="","",IF(N(AI367)=0,"",$A367+VLOOKUP(AH367,Schichten!$A$5:$G$24,3,FALSE())))</f>
        <v>46750.25</v>
      </c>
      <c r="AL367" s="28" t="n">
        <f aca="false">IF(AK367="","",$A367+VLOOKUP(AH367,Schichten!$A$5:$G$24,4,FALSE())+IF(VLOOKUP(AH367,Schichten!$A$5:$G$24,4,FALSE())&lt;=VLOOKUP(AH367,Schichten!$A$5:$G$24,3,FALSE()),1,0))</f>
        <v>46750.5833333333</v>
      </c>
      <c r="AM367" s="28" t="n">
        <f aca="false">IF($A367="","",IF(N(AI366)&gt;0,AL366,AM366))</f>
        <v>46749.5833333333</v>
      </c>
      <c r="AN367" s="27" t="n">
        <f aca="false">IF(OR(AK367="",AM367=""),"",(AK367-AM367)*24)</f>
        <v>16</v>
      </c>
      <c r="AO367" s="21" t="n">
        <f aca="false">IF($A367="","",IF(N(AI367)&gt;0,N(AO366)+1,0))</f>
        <v>2</v>
      </c>
      <c r="AP367" s="21" t="n">
        <f aca="false">IF($A367="","",IF(N(AJ367)&gt;0,N(AP366)+1,0))</f>
        <v>0</v>
      </c>
      <c r="AQ367" s="21" t="str">
        <f aca="false">IF($A367="","",IF(WEEKDAY($A367,2)&lt;&gt;7,"",IF(AND(OR(AK367="",N(AK367)&gt;=$A367+16/24,N(AL367)&lt;=$A367+6/24),OR(AM367="",N(AM367)&lt;=$A367+6/24)),1,0)))</f>
        <v/>
      </c>
      <c r="AR367" s="26" t="str">
        <f aca="false">IF($A367="","",IF(INDEX(Muster!$C$10:$BF$10,1,MOD($A367-Einstellungen!$C$6,Einstellungen!$C$7)+1)="","-",INDEX(Muster!$C$10:$BF$10,1,MOD($A367-Einstellungen!$C$6,Einstellungen!$C$7)+1)))</f>
        <v>-</v>
      </c>
      <c r="AS367" s="27" t="n">
        <f aca="false">IF($A367="","",IFERROR(VLOOKUP(AR367,Schichten!$A$5:$G$24,6,FALSE()),0))</f>
        <v>0</v>
      </c>
      <c r="AT367" s="27" t="n">
        <f aca="false">IF($A367="","",IFERROR(VLOOKUP(AR367,Schichten!$A$5:$G$24,7,FALSE()),0))</f>
        <v>0</v>
      </c>
      <c r="AU367" s="28" t="str">
        <f aca="false">IF($A367="","",IF(N(AS367)=0,"",$A367+VLOOKUP(AR367,Schichten!$A$5:$G$24,3,FALSE())))</f>
        <v/>
      </c>
      <c r="AV367" s="28" t="str">
        <f aca="false">IF(AU367="","",$A367+VLOOKUP(AR367,Schichten!$A$5:$G$24,4,FALSE())+IF(VLOOKUP(AR367,Schichten!$A$5:$G$24,4,FALSE())&lt;=VLOOKUP(AR367,Schichten!$A$5:$G$24,3,FALSE()),1,0))</f>
        <v/>
      </c>
      <c r="AW367" s="28" t="str">
        <f aca="false">IF($A367="","",IF(N(AS366)&gt;0,AV366,AW366))</f>
        <v/>
      </c>
      <c r="AX367" s="27" t="str">
        <f aca="false">IF(OR(AU367="",AW367=""),"",(AU367-AW367)*24)</f>
        <v/>
      </c>
      <c r="AY367" s="21" t="n">
        <f aca="false">IF($A367="","",IF(N(AS367)&gt;0,N(AY366)+1,0))</f>
        <v>0</v>
      </c>
      <c r="AZ367" s="21" t="n">
        <f aca="false">IF($A367="","",IF(N(AT367)&gt;0,N(AZ366)+1,0))</f>
        <v>0</v>
      </c>
      <c r="BA367" s="21" t="str">
        <f aca="false">IF($A367="","",IF(WEEKDAY($A367,2)&lt;&gt;7,"",IF(AND(OR(AU367="",N(AU367)&gt;=$A367+16/24,N(AV367)&lt;=$A367+6/24),OR(AW367="",N(AW367)&lt;=$A367+6/24)),1,0)))</f>
        <v/>
      </c>
    </row>
    <row r="368" customFormat="false" ht="15" hidden="false" customHeight="false" outlineLevel="0" collapsed="false">
      <c r="A368" s="25" t="n">
        <f aca="false">IF(YEAR(DATE(Einstellungen!$C$4,1,1)+363)=Einstellungen!$C$4,DATE(Einstellungen!$C$4,1,1)+363,"")</f>
        <v>46751</v>
      </c>
      <c r="B368" s="26" t="str">
        <f aca="false">IF($A368="","",CHOOSE(WEEKDAY($A368,2),"Mo","Di","Mi","Do","Fr","Sa","So"))</f>
        <v>Do</v>
      </c>
      <c r="C368" s="26" t="n">
        <f aca="false">IF($A368="","",MONTH($A368))</f>
        <v>12</v>
      </c>
      <c r="D368" s="26" t="str">
        <f aca="false">IF($A368="","",IF(INDEX(Muster!$C$6:$BF$6,1,MOD($A368-Einstellungen!$C$6,Einstellungen!$C$7)+1)="","-",INDEX(Muster!$C$6:$BF$6,1,MOD($A368-Einstellungen!$C$6,Einstellungen!$C$7)+1)))</f>
        <v>F</v>
      </c>
      <c r="E368" s="27" t="n">
        <f aca="false">IF($A368="","",IFERROR(VLOOKUP(D368,Schichten!$A$5:$G$24,6,FALSE()),0))</f>
        <v>8</v>
      </c>
      <c r="F368" s="27" t="n">
        <f aca="false">IF($A368="","",IFERROR(VLOOKUP(D368,Schichten!$A$5:$G$24,7,FALSE()),0))</f>
        <v>0</v>
      </c>
      <c r="G368" s="28" t="n">
        <f aca="false">IF($A368="","",IF(N(E368)=0,"",$A368+VLOOKUP(D368,Schichten!$A$5:$G$24,3,FALSE())))</f>
        <v>46751.25</v>
      </c>
      <c r="H368" s="28" t="n">
        <f aca="false">IF(G368="","",$A368+VLOOKUP(D368,Schichten!$A$5:$G$24,4,FALSE())+IF(VLOOKUP(D368,Schichten!$A$5:$G$24,4,FALSE())&lt;=VLOOKUP(D368,Schichten!$A$5:$G$24,3,FALSE()),1,0))</f>
        <v>46751.5833333333</v>
      </c>
      <c r="I368" s="28" t="n">
        <f aca="false">IF($A368="","",IF(N(E367)&gt;0,H367,I367))</f>
        <v>46749.25</v>
      </c>
      <c r="J368" s="27" t="n">
        <f aca="false">IF(OR(G368="",I368=""),"",(G368-I368)*24)</f>
        <v>48</v>
      </c>
      <c r="K368" s="21" t="n">
        <f aca="false">IF($A368="","",IF(N(E368)&gt;0,N(K367)+1,0))</f>
        <v>1</v>
      </c>
      <c r="L368" s="21" t="n">
        <f aca="false">IF($A368="","",IF(N(F368)&gt;0,N(L367)+1,0))</f>
        <v>0</v>
      </c>
      <c r="M368" s="21" t="str">
        <f aca="false">IF($A368="","",IF(WEEKDAY($A368,2)&lt;&gt;7,"",IF(AND(OR(G368="",N(G368)&gt;=$A368+16/24,N(H368)&lt;=$A368+6/24),OR(I368="",N(I368)&lt;=$A368+6/24)),1,0)))</f>
        <v/>
      </c>
      <c r="N368" s="26" t="str">
        <f aca="false">IF($A368="","",IF(INDEX(Muster!$C$7:$BF$7,1,MOD($A368-Einstellungen!$C$6,Einstellungen!$C$7)+1)="","-",INDEX(Muster!$C$7:$BF$7,1,MOD($A368-Einstellungen!$C$6,Einstellungen!$C$7)+1)))</f>
        <v>-</v>
      </c>
      <c r="O368" s="27" t="n">
        <f aca="false">IF($A368="","",IFERROR(VLOOKUP(N368,Schichten!$A$5:$G$24,6,FALSE()),0))</f>
        <v>0</v>
      </c>
      <c r="P368" s="27" t="n">
        <f aca="false">IF($A368="","",IFERROR(VLOOKUP(N368,Schichten!$A$5:$G$24,7,FALSE()),0))</f>
        <v>0</v>
      </c>
      <c r="Q368" s="28" t="str">
        <f aca="false">IF($A368="","",IF(N(O368)=0,"",$A368+VLOOKUP(N368,Schichten!$A$5:$G$24,3,FALSE())))</f>
        <v/>
      </c>
      <c r="R368" s="28" t="str">
        <f aca="false">IF(Q368="","",$A368+VLOOKUP(N368,Schichten!$A$5:$G$24,4,FALSE())+IF(VLOOKUP(N368,Schichten!$A$5:$G$24,4,FALSE())&lt;=VLOOKUP(N368,Schichten!$A$5:$G$24,3,FALSE()),1,0))</f>
        <v/>
      </c>
      <c r="S368" s="28" t="n">
        <f aca="false">IF($A368="","",IF(N(O367)&gt;0,R367,S367))</f>
        <v>46751.25</v>
      </c>
      <c r="T368" s="27" t="str">
        <f aca="false">IF(OR(Q368="",S368=""),"",(Q368-S368)*24)</f>
        <v/>
      </c>
      <c r="U368" s="21" t="n">
        <f aca="false">IF($A368="","",IF(N(O368)&gt;0,N(U367)+1,0))</f>
        <v>0</v>
      </c>
      <c r="V368" s="21" t="n">
        <f aca="false">IF($A368="","",IF(N(P368)&gt;0,N(V367)+1,0))</f>
        <v>0</v>
      </c>
      <c r="W368" s="21" t="str">
        <f aca="false">IF($A368="","",IF(WEEKDAY($A368,2)&lt;&gt;7,"",IF(AND(OR(Q368="",N(Q368)&gt;=$A368+16/24,N(R368)&lt;=$A368+6/24),OR(S368="",N(S368)&lt;=$A368+6/24)),1,0)))</f>
        <v/>
      </c>
      <c r="X368" s="26" t="str">
        <f aca="false">IF($A368="","",IF(INDEX(Muster!$C$8:$BF$8,1,MOD($A368-Einstellungen!$C$6,Einstellungen!$C$7)+1)="","-",INDEX(Muster!$C$8:$BF$8,1,MOD($A368-Einstellungen!$C$6,Einstellungen!$C$7)+1)))</f>
        <v>N</v>
      </c>
      <c r="Y368" s="27" t="n">
        <f aca="false">IF($A368="","",IFERROR(VLOOKUP(X368,Schichten!$A$5:$G$24,6,FALSE()),0))</f>
        <v>8</v>
      </c>
      <c r="Z368" s="27" t="n">
        <f aca="false">IF($A368="","",IFERROR(VLOOKUP(X368,Schichten!$A$5:$G$24,7,FALSE()),0))</f>
        <v>7</v>
      </c>
      <c r="AA368" s="28" t="n">
        <f aca="false">IF($A368="","",IF(N(Y368)=0,"",$A368+VLOOKUP(X368,Schichten!$A$5:$G$24,3,FALSE())))</f>
        <v>46751.9166666667</v>
      </c>
      <c r="AB368" s="28" t="n">
        <f aca="false">IF(AA368="","",$A368+VLOOKUP(X368,Schichten!$A$5:$G$24,4,FALSE())+IF(VLOOKUP(X368,Schichten!$A$5:$G$24,4,FALSE())&lt;=VLOOKUP(X368,Schichten!$A$5:$G$24,3,FALSE()),1,0))</f>
        <v>46752.25</v>
      </c>
      <c r="AC368" s="28" t="n">
        <f aca="false">IF($A368="","",IF(N(Y367)&gt;0,AB367,AC367))</f>
        <v>46750.9166666667</v>
      </c>
      <c r="AD368" s="27" t="n">
        <f aca="false">IF(OR(AA368="",AC368=""),"",(AA368-AC368)*24)</f>
        <v>24</v>
      </c>
      <c r="AE368" s="21" t="n">
        <f aca="false">IF($A368="","",IF(N(Y368)&gt;0,N(AE367)+1,0))</f>
        <v>5</v>
      </c>
      <c r="AF368" s="21" t="n">
        <f aca="false">IF($A368="","",IF(N(Z368)&gt;0,N(AF367)+1,0))</f>
        <v>1</v>
      </c>
      <c r="AG368" s="21" t="str">
        <f aca="false">IF($A368="","",IF(WEEKDAY($A368,2)&lt;&gt;7,"",IF(AND(OR(AA368="",N(AA368)&gt;=$A368+16/24,N(AB368)&lt;=$A368+6/24),OR(AC368="",N(AC368)&lt;=$A368+6/24)),1,0)))</f>
        <v/>
      </c>
      <c r="AH368" s="26" t="str">
        <f aca="false">IF($A368="","",IF(INDEX(Muster!$C$9:$BF$9,1,MOD($A368-Einstellungen!$C$6,Einstellungen!$C$7)+1)="","-",INDEX(Muster!$C$9:$BF$9,1,MOD($A368-Einstellungen!$C$6,Einstellungen!$C$7)+1)))</f>
        <v>S</v>
      </c>
      <c r="AI368" s="27" t="n">
        <f aca="false">IF($A368="","",IFERROR(VLOOKUP(AH368,Schichten!$A$5:$G$24,6,FALSE()),0))</f>
        <v>8</v>
      </c>
      <c r="AJ368" s="27" t="n">
        <f aca="false">IF($A368="","",IFERROR(VLOOKUP(AH368,Schichten!$A$5:$G$24,7,FALSE()),0))</f>
        <v>0</v>
      </c>
      <c r="AK368" s="28" t="n">
        <f aca="false">IF($A368="","",IF(N(AI368)=0,"",$A368+VLOOKUP(AH368,Schichten!$A$5:$G$24,3,FALSE())))</f>
        <v>46751.5833333333</v>
      </c>
      <c r="AL368" s="28" t="n">
        <f aca="false">IF(AK368="","",$A368+VLOOKUP(AH368,Schichten!$A$5:$G$24,4,FALSE())+IF(VLOOKUP(AH368,Schichten!$A$5:$G$24,4,FALSE())&lt;=VLOOKUP(AH368,Schichten!$A$5:$G$24,3,FALSE()),1,0))</f>
        <v>46751.9166666667</v>
      </c>
      <c r="AM368" s="28" t="n">
        <f aca="false">IF($A368="","",IF(N(AI367)&gt;0,AL367,AM367))</f>
        <v>46750.5833333333</v>
      </c>
      <c r="AN368" s="27" t="n">
        <f aca="false">IF(OR(AK368="",AM368=""),"",(AK368-AM368)*24)</f>
        <v>24</v>
      </c>
      <c r="AO368" s="21" t="n">
        <f aca="false">IF($A368="","",IF(N(AI368)&gt;0,N(AO367)+1,0))</f>
        <v>3</v>
      </c>
      <c r="AP368" s="21" t="n">
        <f aca="false">IF($A368="","",IF(N(AJ368)&gt;0,N(AP367)+1,0))</f>
        <v>0</v>
      </c>
      <c r="AQ368" s="21" t="str">
        <f aca="false">IF($A368="","",IF(WEEKDAY($A368,2)&lt;&gt;7,"",IF(AND(OR(AK368="",N(AK368)&gt;=$A368+16/24,N(AL368)&lt;=$A368+6/24),OR(AM368="",N(AM368)&lt;=$A368+6/24)),1,0)))</f>
        <v/>
      </c>
      <c r="AR368" s="26" t="str">
        <f aca="false">IF($A368="","",IF(INDEX(Muster!$C$10:$BF$10,1,MOD($A368-Einstellungen!$C$6,Einstellungen!$C$7)+1)="","-",INDEX(Muster!$C$10:$BF$10,1,MOD($A368-Einstellungen!$C$6,Einstellungen!$C$7)+1)))</f>
        <v>-</v>
      </c>
      <c r="AS368" s="27" t="n">
        <f aca="false">IF($A368="","",IFERROR(VLOOKUP(AR368,Schichten!$A$5:$G$24,6,FALSE()),0))</f>
        <v>0</v>
      </c>
      <c r="AT368" s="27" t="n">
        <f aca="false">IF($A368="","",IFERROR(VLOOKUP(AR368,Schichten!$A$5:$G$24,7,FALSE()),0))</f>
        <v>0</v>
      </c>
      <c r="AU368" s="28" t="str">
        <f aca="false">IF($A368="","",IF(N(AS368)=0,"",$A368+VLOOKUP(AR368,Schichten!$A$5:$G$24,3,FALSE())))</f>
        <v/>
      </c>
      <c r="AV368" s="28" t="str">
        <f aca="false">IF(AU368="","",$A368+VLOOKUP(AR368,Schichten!$A$5:$G$24,4,FALSE())+IF(VLOOKUP(AR368,Schichten!$A$5:$G$24,4,FALSE())&lt;=VLOOKUP(AR368,Schichten!$A$5:$G$24,3,FALSE()),1,0))</f>
        <v/>
      </c>
      <c r="AW368" s="28" t="str">
        <f aca="false">IF($A368="","",IF(N(AS367)&gt;0,AV367,AW367))</f>
        <v/>
      </c>
      <c r="AX368" s="27" t="str">
        <f aca="false">IF(OR(AU368="",AW368=""),"",(AU368-AW368)*24)</f>
        <v/>
      </c>
      <c r="AY368" s="21" t="n">
        <f aca="false">IF($A368="","",IF(N(AS368)&gt;0,N(AY367)+1,0))</f>
        <v>0</v>
      </c>
      <c r="AZ368" s="21" t="n">
        <f aca="false">IF($A368="","",IF(N(AT368)&gt;0,N(AZ367)+1,0))</f>
        <v>0</v>
      </c>
      <c r="BA368" s="21" t="str">
        <f aca="false">IF($A368="","",IF(WEEKDAY($A368,2)&lt;&gt;7,"",IF(AND(OR(AU368="",N(AU368)&gt;=$A368+16/24,N(AV368)&lt;=$A368+6/24),OR(AW368="",N(AW368)&lt;=$A368+6/24)),1,0)))</f>
        <v/>
      </c>
    </row>
    <row r="369" customFormat="false" ht="15" hidden="false" customHeight="false" outlineLevel="0" collapsed="false">
      <c r="A369" s="25" t="n">
        <f aca="false">IF(YEAR(DATE(Einstellungen!$C$4,1,1)+364)=Einstellungen!$C$4,DATE(Einstellungen!$C$4,1,1)+364,"")</f>
        <v>46752</v>
      </c>
      <c r="B369" s="26" t="str">
        <f aca="false">IF($A369="","",CHOOSE(WEEKDAY($A369,2),"Mo","Di","Mi","Do","Fr","Sa","So"))</f>
        <v>Fr</v>
      </c>
      <c r="C369" s="26" t="n">
        <f aca="false">IF($A369="","",MONTH($A369))</f>
        <v>12</v>
      </c>
      <c r="D369" s="26" t="str">
        <f aca="false">IF($A369="","",IF(INDEX(Muster!$C$6:$BF$6,1,MOD($A369-Einstellungen!$C$6,Einstellungen!$C$7)+1)="","-",INDEX(Muster!$C$6:$BF$6,1,MOD($A369-Einstellungen!$C$6,Einstellungen!$C$7)+1)))</f>
        <v>F</v>
      </c>
      <c r="E369" s="27" t="n">
        <f aca="false">IF($A369="","",IFERROR(VLOOKUP(D369,Schichten!$A$5:$G$24,6,FALSE()),0))</f>
        <v>8</v>
      </c>
      <c r="F369" s="27" t="n">
        <f aca="false">IF($A369="","",IFERROR(VLOOKUP(D369,Schichten!$A$5:$G$24,7,FALSE()),0))</f>
        <v>0</v>
      </c>
      <c r="G369" s="28" t="n">
        <f aca="false">IF($A369="","",IF(N(E369)=0,"",$A369+VLOOKUP(D369,Schichten!$A$5:$G$24,3,FALSE())))</f>
        <v>46752.25</v>
      </c>
      <c r="H369" s="28" t="n">
        <f aca="false">IF(G369="","",$A369+VLOOKUP(D369,Schichten!$A$5:$G$24,4,FALSE())+IF(VLOOKUP(D369,Schichten!$A$5:$G$24,4,FALSE())&lt;=VLOOKUP(D369,Schichten!$A$5:$G$24,3,FALSE()),1,0))</f>
        <v>46752.5833333333</v>
      </c>
      <c r="I369" s="28" t="n">
        <f aca="false">IF($A369="","",IF(N(E368)&gt;0,H368,I368))</f>
        <v>46751.5833333333</v>
      </c>
      <c r="J369" s="27" t="n">
        <f aca="false">IF(OR(G369="",I369=""),"",(G369-I369)*24)</f>
        <v>16</v>
      </c>
      <c r="K369" s="21" t="n">
        <f aca="false">IF($A369="","",IF(N(E369)&gt;0,N(K368)+1,0))</f>
        <v>2</v>
      </c>
      <c r="L369" s="21" t="n">
        <f aca="false">IF($A369="","",IF(N(F369)&gt;0,N(L368)+1,0))</f>
        <v>0</v>
      </c>
      <c r="M369" s="21" t="str">
        <f aca="false">IF($A369="","",IF(WEEKDAY($A369,2)&lt;&gt;7,"",IF(AND(OR(G369="",N(G369)&gt;=$A369+16/24,N(H369)&lt;=$A369+6/24),OR(I369="",N(I369)&lt;=$A369+6/24)),1,0)))</f>
        <v/>
      </c>
      <c r="N369" s="26" t="str">
        <f aca="false">IF($A369="","",IF(INDEX(Muster!$C$7:$BF$7,1,MOD($A369-Einstellungen!$C$6,Einstellungen!$C$7)+1)="","-",INDEX(Muster!$C$7:$BF$7,1,MOD($A369-Einstellungen!$C$6,Einstellungen!$C$7)+1)))</f>
        <v>-</v>
      </c>
      <c r="O369" s="27" t="n">
        <f aca="false">IF($A369="","",IFERROR(VLOOKUP(N369,Schichten!$A$5:$G$24,6,FALSE()),0))</f>
        <v>0</v>
      </c>
      <c r="P369" s="27" t="n">
        <f aca="false">IF($A369="","",IFERROR(VLOOKUP(N369,Schichten!$A$5:$G$24,7,FALSE()),0))</f>
        <v>0</v>
      </c>
      <c r="Q369" s="28" t="str">
        <f aca="false">IF($A369="","",IF(N(O369)=0,"",$A369+VLOOKUP(N369,Schichten!$A$5:$G$24,3,FALSE())))</f>
        <v/>
      </c>
      <c r="R369" s="28" t="str">
        <f aca="false">IF(Q369="","",$A369+VLOOKUP(N369,Schichten!$A$5:$G$24,4,FALSE())+IF(VLOOKUP(N369,Schichten!$A$5:$G$24,4,FALSE())&lt;=VLOOKUP(N369,Schichten!$A$5:$G$24,3,FALSE()),1,0))</f>
        <v/>
      </c>
      <c r="S369" s="28" t="n">
        <f aca="false">IF($A369="","",IF(N(O368)&gt;0,R368,S368))</f>
        <v>46751.25</v>
      </c>
      <c r="T369" s="27" t="str">
        <f aca="false">IF(OR(Q369="",S369=""),"",(Q369-S369)*24)</f>
        <v/>
      </c>
      <c r="U369" s="21" t="n">
        <f aca="false">IF($A369="","",IF(N(O369)&gt;0,N(U368)+1,0))</f>
        <v>0</v>
      </c>
      <c r="V369" s="21" t="n">
        <f aca="false">IF($A369="","",IF(N(P369)&gt;0,N(V368)+1,0))</f>
        <v>0</v>
      </c>
      <c r="W369" s="21" t="str">
        <f aca="false">IF($A369="","",IF(WEEKDAY($A369,2)&lt;&gt;7,"",IF(AND(OR(Q369="",N(Q369)&gt;=$A369+16/24,N(R369)&lt;=$A369+6/24),OR(S369="",N(S369)&lt;=$A369+6/24)),1,0)))</f>
        <v/>
      </c>
      <c r="X369" s="26" t="str">
        <f aca="false">IF($A369="","",IF(INDEX(Muster!$C$8:$BF$8,1,MOD($A369-Einstellungen!$C$6,Einstellungen!$C$7)+1)="","-",INDEX(Muster!$C$8:$BF$8,1,MOD($A369-Einstellungen!$C$6,Einstellungen!$C$7)+1)))</f>
        <v>N</v>
      </c>
      <c r="Y369" s="27" t="n">
        <f aca="false">IF($A369="","",IFERROR(VLOOKUP(X369,Schichten!$A$5:$G$24,6,FALSE()),0))</f>
        <v>8</v>
      </c>
      <c r="Z369" s="27" t="n">
        <f aca="false">IF($A369="","",IFERROR(VLOOKUP(X369,Schichten!$A$5:$G$24,7,FALSE()),0))</f>
        <v>7</v>
      </c>
      <c r="AA369" s="28" t="n">
        <f aca="false">IF($A369="","",IF(N(Y369)=0,"",$A369+VLOOKUP(X369,Schichten!$A$5:$G$24,3,FALSE())))</f>
        <v>46752.9166666667</v>
      </c>
      <c r="AB369" s="28" t="n">
        <f aca="false">IF(AA369="","",$A369+VLOOKUP(X369,Schichten!$A$5:$G$24,4,FALSE())+IF(VLOOKUP(X369,Schichten!$A$5:$G$24,4,FALSE())&lt;=VLOOKUP(X369,Schichten!$A$5:$G$24,3,FALSE()),1,0))</f>
        <v>46753.25</v>
      </c>
      <c r="AC369" s="28" t="n">
        <f aca="false">IF($A369="","",IF(N(Y368)&gt;0,AB368,AC368))</f>
        <v>46752.25</v>
      </c>
      <c r="AD369" s="27" t="n">
        <f aca="false">IF(OR(AA369="",AC369=""),"",(AA369-AC369)*24)</f>
        <v>16</v>
      </c>
      <c r="AE369" s="21" t="n">
        <f aca="false">IF($A369="","",IF(N(Y369)&gt;0,N(AE368)+1,0))</f>
        <v>6</v>
      </c>
      <c r="AF369" s="21" t="n">
        <f aca="false">IF($A369="","",IF(N(Z369)&gt;0,N(AF368)+1,0))</f>
        <v>2</v>
      </c>
      <c r="AG369" s="21" t="str">
        <f aca="false">IF($A369="","",IF(WEEKDAY($A369,2)&lt;&gt;7,"",IF(AND(OR(AA369="",N(AA369)&gt;=$A369+16/24,N(AB369)&lt;=$A369+6/24),OR(AC369="",N(AC369)&lt;=$A369+6/24)),1,0)))</f>
        <v/>
      </c>
      <c r="AH369" s="26" t="str">
        <f aca="false">IF($A369="","",IF(INDEX(Muster!$C$9:$BF$9,1,MOD($A369-Einstellungen!$C$6,Einstellungen!$C$7)+1)="","-",INDEX(Muster!$C$9:$BF$9,1,MOD($A369-Einstellungen!$C$6,Einstellungen!$C$7)+1)))</f>
        <v>S</v>
      </c>
      <c r="AI369" s="27" t="n">
        <f aca="false">IF($A369="","",IFERROR(VLOOKUP(AH369,Schichten!$A$5:$G$24,6,FALSE()),0))</f>
        <v>8</v>
      </c>
      <c r="AJ369" s="27" t="n">
        <f aca="false">IF($A369="","",IFERROR(VLOOKUP(AH369,Schichten!$A$5:$G$24,7,FALSE()),0))</f>
        <v>0</v>
      </c>
      <c r="AK369" s="28" t="n">
        <f aca="false">IF($A369="","",IF(N(AI369)=0,"",$A369+VLOOKUP(AH369,Schichten!$A$5:$G$24,3,FALSE())))</f>
        <v>46752.5833333333</v>
      </c>
      <c r="AL369" s="28" t="n">
        <f aca="false">IF(AK369="","",$A369+VLOOKUP(AH369,Schichten!$A$5:$G$24,4,FALSE())+IF(VLOOKUP(AH369,Schichten!$A$5:$G$24,4,FALSE())&lt;=VLOOKUP(AH369,Schichten!$A$5:$G$24,3,FALSE()),1,0))</f>
        <v>46752.9166666667</v>
      </c>
      <c r="AM369" s="28" t="n">
        <f aca="false">IF($A369="","",IF(N(AI368)&gt;0,AL368,AM368))</f>
        <v>46751.9166666667</v>
      </c>
      <c r="AN369" s="27" t="n">
        <f aca="false">IF(OR(AK369="",AM369=""),"",(AK369-AM369)*24)</f>
        <v>16</v>
      </c>
      <c r="AO369" s="21" t="n">
        <f aca="false">IF($A369="","",IF(N(AI369)&gt;0,N(AO368)+1,0))</f>
        <v>4</v>
      </c>
      <c r="AP369" s="21" t="n">
        <f aca="false">IF($A369="","",IF(N(AJ369)&gt;0,N(AP368)+1,0))</f>
        <v>0</v>
      </c>
      <c r="AQ369" s="21" t="str">
        <f aca="false">IF($A369="","",IF(WEEKDAY($A369,2)&lt;&gt;7,"",IF(AND(OR(AK369="",N(AK369)&gt;=$A369+16/24,N(AL369)&lt;=$A369+6/24),OR(AM369="",N(AM369)&lt;=$A369+6/24)),1,0)))</f>
        <v/>
      </c>
      <c r="AR369" s="26" t="str">
        <f aca="false">IF($A369="","",IF(INDEX(Muster!$C$10:$BF$10,1,MOD($A369-Einstellungen!$C$6,Einstellungen!$C$7)+1)="","-",INDEX(Muster!$C$10:$BF$10,1,MOD($A369-Einstellungen!$C$6,Einstellungen!$C$7)+1)))</f>
        <v>-</v>
      </c>
      <c r="AS369" s="27" t="n">
        <f aca="false">IF($A369="","",IFERROR(VLOOKUP(AR369,Schichten!$A$5:$G$24,6,FALSE()),0))</f>
        <v>0</v>
      </c>
      <c r="AT369" s="27" t="n">
        <f aca="false">IF($A369="","",IFERROR(VLOOKUP(AR369,Schichten!$A$5:$G$24,7,FALSE()),0))</f>
        <v>0</v>
      </c>
      <c r="AU369" s="28" t="str">
        <f aca="false">IF($A369="","",IF(N(AS369)=0,"",$A369+VLOOKUP(AR369,Schichten!$A$5:$G$24,3,FALSE())))</f>
        <v/>
      </c>
      <c r="AV369" s="28" t="str">
        <f aca="false">IF(AU369="","",$A369+VLOOKUP(AR369,Schichten!$A$5:$G$24,4,FALSE())+IF(VLOOKUP(AR369,Schichten!$A$5:$G$24,4,FALSE())&lt;=VLOOKUP(AR369,Schichten!$A$5:$G$24,3,FALSE()),1,0))</f>
        <v/>
      </c>
      <c r="AW369" s="28" t="str">
        <f aca="false">IF($A369="","",IF(N(AS368)&gt;0,AV368,AW368))</f>
        <v/>
      </c>
      <c r="AX369" s="27" t="str">
        <f aca="false">IF(OR(AU369="",AW369=""),"",(AU369-AW369)*24)</f>
        <v/>
      </c>
      <c r="AY369" s="21" t="n">
        <f aca="false">IF($A369="","",IF(N(AS369)&gt;0,N(AY368)+1,0))</f>
        <v>0</v>
      </c>
      <c r="AZ369" s="21" t="n">
        <f aca="false">IF($A369="","",IF(N(AT369)&gt;0,N(AZ368)+1,0))</f>
        <v>0</v>
      </c>
      <c r="BA369" s="21" t="str">
        <f aca="false">IF($A369="","",IF(WEEKDAY($A369,2)&lt;&gt;7,"",IF(AND(OR(AU369="",N(AU369)&gt;=$A369+16/24,N(AV369)&lt;=$A369+6/24),OR(AW369="",N(AW369)&lt;=$A369+6/24)),1,0)))</f>
        <v/>
      </c>
    </row>
    <row r="370" customFormat="false" ht="15" hidden="false" customHeight="false" outlineLevel="0" collapsed="false">
      <c r="A370" s="25" t="str">
        <f aca="false">IF(YEAR(DATE(Einstellungen!$C$4,1,1)+365)=Einstellungen!$C$4,DATE(Einstellungen!$C$4,1,1)+365,"")</f>
        <v/>
      </c>
      <c r="B370" s="26" t="str">
        <f aca="false">IF($A370="","",CHOOSE(WEEKDAY($A370,2),"Mo","Di","Mi","Do","Fr","Sa","So"))</f>
        <v/>
      </c>
      <c r="C370" s="26" t="str">
        <f aca="false">IF($A370="","",MONTH($A370))</f>
        <v/>
      </c>
      <c r="D370" s="26" t="str">
        <f aca="false">IF($A370="","",IF(INDEX(Muster!$C$6:$BF$6,1,MOD($A370-Einstellungen!$C$6,Einstellungen!$C$7)+1)="","-",INDEX(Muster!$C$6:$BF$6,1,MOD($A370-Einstellungen!$C$6,Einstellungen!$C$7)+1)))</f>
        <v/>
      </c>
      <c r="E370" s="27" t="str">
        <f aca="false">IF($A370="","",IFERROR(VLOOKUP(D370,Schichten!$A$5:$G$24,6,FALSE()),0))</f>
        <v/>
      </c>
      <c r="F370" s="27" t="str">
        <f aca="false">IF($A370="","",IFERROR(VLOOKUP(D370,Schichten!$A$5:$G$24,7,FALSE()),0))</f>
        <v/>
      </c>
      <c r="G370" s="28" t="str">
        <f aca="false">IF($A370="","",IF(N(E370)=0,"",$A370+VLOOKUP(D370,Schichten!$A$5:$G$24,3,FALSE())))</f>
        <v/>
      </c>
      <c r="H370" s="28" t="str">
        <f aca="false">IF(G370="","",$A370+VLOOKUP(D370,Schichten!$A$5:$G$24,4,FALSE())+IF(VLOOKUP(D370,Schichten!$A$5:$G$24,4,FALSE())&lt;=VLOOKUP(D370,Schichten!$A$5:$G$24,3,FALSE()),1,0))</f>
        <v/>
      </c>
      <c r="I370" s="28" t="str">
        <f aca="false">IF($A370="","",IF(N(E369)&gt;0,H369,I369))</f>
        <v/>
      </c>
      <c r="J370" s="27" t="str">
        <f aca="false">IF(OR(G370="",I370=""),"",(G370-I370)*24)</f>
        <v/>
      </c>
      <c r="K370" s="21" t="str">
        <f aca="false">IF($A370="","",IF(N(E370)&gt;0,N(K369)+1,0))</f>
        <v/>
      </c>
      <c r="L370" s="21" t="str">
        <f aca="false">IF($A370="","",IF(N(F370)&gt;0,N(L369)+1,0))</f>
        <v/>
      </c>
      <c r="M370" s="21" t="str">
        <f aca="false">IF($A370="","",IF(WEEKDAY($A370,2)&lt;&gt;7,"",IF(AND(OR(G370="",N(G370)&gt;=$A370+16/24,N(H370)&lt;=$A370+6/24),OR(I370="",N(I370)&lt;=$A370+6/24)),1,0)))</f>
        <v/>
      </c>
      <c r="N370" s="26" t="str">
        <f aca="false">IF($A370="","",IF(INDEX(Muster!$C$7:$BF$7,1,MOD($A370-Einstellungen!$C$6,Einstellungen!$C$7)+1)="","-",INDEX(Muster!$C$7:$BF$7,1,MOD($A370-Einstellungen!$C$6,Einstellungen!$C$7)+1)))</f>
        <v/>
      </c>
      <c r="O370" s="27" t="str">
        <f aca="false">IF($A370="","",IFERROR(VLOOKUP(N370,Schichten!$A$5:$G$24,6,FALSE()),0))</f>
        <v/>
      </c>
      <c r="P370" s="27" t="str">
        <f aca="false">IF($A370="","",IFERROR(VLOOKUP(N370,Schichten!$A$5:$G$24,7,FALSE()),0))</f>
        <v/>
      </c>
      <c r="Q370" s="28" t="str">
        <f aca="false">IF($A370="","",IF(N(O370)=0,"",$A370+VLOOKUP(N370,Schichten!$A$5:$G$24,3,FALSE())))</f>
        <v/>
      </c>
      <c r="R370" s="28" t="str">
        <f aca="false">IF(Q370="","",$A370+VLOOKUP(N370,Schichten!$A$5:$G$24,4,FALSE())+IF(VLOOKUP(N370,Schichten!$A$5:$G$24,4,FALSE())&lt;=VLOOKUP(N370,Schichten!$A$5:$G$24,3,FALSE()),1,0))</f>
        <v/>
      </c>
      <c r="S370" s="28" t="str">
        <f aca="false">IF($A370="","",IF(N(O369)&gt;0,R369,S369))</f>
        <v/>
      </c>
      <c r="T370" s="27" t="str">
        <f aca="false">IF(OR(Q370="",S370=""),"",(Q370-S370)*24)</f>
        <v/>
      </c>
      <c r="U370" s="21" t="str">
        <f aca="false">IF($A370="","",IF(N(O370)&gt;0,N(U369)+1,0))</f>
        <v/>
      </c>
      <c r="V370" s="21" t="str">
        <f aca="false">IF($A370="","",IF(N(P370)&gt;0,N(V369)+1,0))</f>
        <v/>
      </c>
      <c r="W370" s="21" t="str">
        <f aca="false">IF($A370="","",IF(WEEKDAY($A370,2)&lt;&gt;7,"",IF(AND(OR(Q370="",N(Q370)&gt;=$A370+16/24,N(R370)&lt;=$A370+6/24),OR(S370="",N(S370)&lt;=$A370+6/24)),1,0)))</f>
        <v/>
      </c>
      <c r="X370" s="26" t="str">
        <f aca="false">IF($A370="","",IF(INDEX(Muster!$C$8:$BF$8,1,MOD($A370-Einstellungen!$C$6,Einstellungen!$C$7)+1)="","-",INDEX(Muster!$C$8:$BF$8,1,MOD($A370-Einstellungen!$C$6,Einstellungen!$C$7)+1)))</f>
        <v/>
      </c>
      <c r="Y370" s="27" t="str">
        <f aca="false">IF($A370="","",IFERROR(VLOOKUP(X370,Schichten!$A$5:$G$24,6,FALSE()),0))</f>
        <v/>
      </c>
      <c r="Z370" s="27" t="str">
        <f aca="false">IF($A370="","",IFERROR(VLOOKUP(X370,Schichten!$A$5:$G$24,7,FALSE()),0))</f>
        <v/>
      </c>
      <c r="AA370" s="28" t="str">
        <f aca="false">IF($A370="","",IF(N(Y370)=0,"",$A370+VLOOKUP(X370,Schichten!$A$5:$G$24,3,FALSE())))</f>
        <v/>
      </c>
      <c r="AB370" s="28" t="str">
        <f aca="false">IF(AA370="","",$A370+VLOOKUP(X370,Schichten!$A$5:$G$24,4,FALSE())+IF(VLOOKUP(X370,Schichten!$A$5:$G$24,4,FALSE())&lt;=VLOOKUP(X370,Schichten!$A$5:$G$24,3,FALSE()),1,0))</f>
        <v/>
      </c>
      <c r="AC370" s="28" t="str">
        <f aca="false">IF($A370="","",IF(N(Y369)&gt;0,AB369,AC369))</f>
        <v/>
      </c>
      <c r="AD370" s="27" t="str">
        <f aca="false">IF(OR(AA370="",AC370=""),"",(AA370-AC370)*24)</f>
        <v/>
      </c>
      <c r="AE370" s="21" t="str">
        <f aca="false">IF($A370="","",IF(N(Y370)&gt;0,N(AE369)+1,0))</f>
        <v/>
      </c>
      <c r="AF370" s="21" t="str">
        <f aca="false">IF($A370="","",IF(N(Z370)&gt;0,N(AF369)+1,0))</f>
        <v/>
      </c>
      <c r="AG370" s="21" t="str">
        <f aca="false">IF($A370="","",IF(WEEKDAY($A370,2)&lt;&gt;7,"",IF(AND(OR(AA370="",N(AA370)&gt;=$A370+16/24,N(AB370)&lt;=$A370+6/24),OR(AC370="",N(AC370)&lt;=$A370+6/24)),1,0)))</f>
        <v/>
      </c>
      <c r="AH370" s="26" t="str">
        <f aca="false">IF($A370="","",IF(INDEX(Muster!$C$9:$BF$9,1,MOD($A370-Einstellungen!$C$6,Einstellungen!$C$7)+1)="","-",INDEX(Muster!$C$9:$BF$9,1,MOD($A370-Einstellungen!$C$6,Einstellungen!$C$7)+1)))</f>
        <v/>
      </c>
      <c r="AI370" s="27" t="str">
        <f aca="false">IF($A370="","",IFERROR(VLOOKUP(AH370,Schichten!$A$5:$G$24,6,FALSE()),0))</f>
        <v/>
      </c>
      <c r="AJ370" s="27" t="str">
        <f aca="false">IF($A370="","",IFERROR(VLOOKUP(AH370,Schichten!$A$5:$G$24,7,FALSE()),0))</f>
        <v/>
      </c>
      <c r="AK370" s="28" t="str">
        <f aca="false">IF($A370="","",IF(N(AI370)=0,"",$A370+VLOOKUP(AH370,Schichten!$A$5:$G$24,3,FALSE())))</f>
        <v/>
      </c>
      <c r="AL370" s="28" t="str">
        <f aca="false">IF(AK370="","",$A370+VLOOKUP(AH370,Schichten!$A$5:$G$24,4,FALSE())+IF(VLOOKUP(AH370,Schichten!$A$5:$G$24,4,FALSE())&lt;=VLOOKUP(AH370,Schichten!$A$5:$G$24,3,FALSE()),1,0))</f>
        <v/>
      </c>
      <c r="AM370" s="28" t="str">
        <f aca="false">IF($A370="","",IF(N(AI369)&gt;0,AL369,AM369))</f>
        <v/>
      </c>
      <c r="AN370" s="27" t="str">
        <f aca="false">IF(OR(AK370="",AM370=""),"",(AK370-AM370)*24)</f>
        <v/>
      </c>
      <c r="AO370" s="21" t="str">
        <f aca="false">IF($A370="","",IF(N(AI370)&gt;0,N(AO369)+1,0))</f>
        <v/>
      </c>
      <c r="AP370" s="21" t="str">
        <f aca="false">IF($A370="","",IF(N(AJ370)&gt;0,N(AP369)+1,0))</f>
        <v/>
      </c>
      <c r="AQ370" s="21" t="str">
        <f aca="false">IF($A370="","",IF(WEEKDAY($A370,2)&lt;&gt;7,"",IF(AND(OR(AK370="",N(AK370)&gt;=$A370+16/24,N(AL370)&lt;=$A370+6/24),OR(AM370="",N(AM370)&lt;=$A370+6/24)),1,0)))</f>
        <v/>
      </c>
      <c r="AR370" s="26" t="str">
        <f aca="false">IF($A370="","",IF(INDEX(Muster!$C$10:$BF$10,1,MOD($A370-Einstellungen!$C$6,Einstellungen!$C$7)+1)="","-",INDEX(Muster!$C$10:$BF$10,1,MOD($A370-Einstellungen!$C$6,Einstellungen!$C$7)+1)))</f>
        <v/>
      </c>
      <c r="AS370" s="27" t="str">
        <f aca="false">IF($A370="","",IFERROR(VLOOKUP(AR370,Schichten!$A$5:$G$24,6,FALSE()),0))</f>
        <v/>
      </c>
      <c r="AT370" s="27" t="str">
        <f aca="false">IF($A370="","",IFERROR(VLOOKUP(AR370,Schichten!$A$5:$G$24,7,FALSE()),0))</f>
        <v/>
      </c>
      <c r="AU370" s="28" t="str">
        <f aca="false">IF($A370="","",IF(N(AS370)=0,"",$A370+VLOOKUP(AR370,Schichten!$A$5:$G$24,3,FALSE())))</f>
        <v/>
      </c>
      <c r="AV370" s="28" t="str">
        <f aca="false">IF(AU370="","",$A370+VLOOKUP(AR370,Schichten!$A$5:$G$24,4,FALSE())+IF(VLOOKUP(AR370,Schichten!$A$5:$G$24,4,FALSE())&lt;=VLOOKUP(AR370,Schichten!$A$5:$G$24,3,FALSE()),1,0))</f>
        <v/>
      </c>
      <c r="AW370" s="28" t="str">
        <f aca="false">IF($A370="","",IF(N(AS369)&gt;0,AV369,AW369))</f>
        <v/>
      </c>
      <c r="AX370" s="27" t="str">
        <f aca="false">IF(OR(AU370="",AW370=""),"",(AU370-AW370)*24)</f>
        <v/>
      </c>
      <c r="AY370" s="21" t="str">
        <f aca="false">IF($A370="","",IF(N(AS370)&gt;0,N(AY369)+1,0))</f>
        <v/>
      </c>
      <c r="AZ370" s="21" t="str">
        <f aca="false">IF($A370="","",IF(N(AT370)&gt;0,N(AZ369)+1,0))</f>
        <v/>
      </c>
      <c r="BA370" s="21" t="str">
        <f aca="false">IF($A370="","",IF(WEEKDAY($A370,2)&lt;&gt;7,"",IF(AND(OR(AU370="",N(AU370)&gt;=$A370+16/24,N(AV370)&lt;=$A370+6/24),OR(AW370="",N(AW370)&lt;=$A370+6/24)),1,0)))</f>
        <v/>
      </c>
    </row>
  </sheetData>
  <mergeCells count="5">
    <mergeCell ref="D3:M3"/>
    <mergeCell ref="N3:W3"/>
    <mergeCell ref="X3:AG3"/>
    <mergeCell ref="AH3:AQ3"/>
    <mergeCell ref="AR3:BA3"/>
  </mergeCells>
  <conditionalFormatting sqref="D5:D370">
    <cfRule type="cellIs" priority="2" operator="equal" aboveAverage="0" equalAverage="0" bottom="0" percent="0" rank="0" text="" dxfId="0">
      <formula>"F"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"N"</formula>
    </cfRule>
    <cfRule type="cellIs" priority="5" operator="equal" aboveAverage="0" equalAverage="0" bottom="0" percent="0" rank="0" text="" dxfId="3">
      <formula>"T12"</formula>
    </cfRule>
    <cfRule type="cellIs" priority="6" operator="equal" aboveAverage="0" equalAverage="0" bottom="0" percent="0" rank="0" text="" dxfId="4">
      <formula>"N12"</formula>
    </cfRule>
    <cfRule type="cellIs" priority="7" operator="equal" aboveAverage="0" equalAverage="0" bottom="0" percent="0" rank="0" text="" dxfId="5">
      <formula>"-"</formula>
    </cfRule>
    <cfRule type="cellIs" priority="8" operator="equal" aboveAverage="0" equalAverage="0" bottom="0" percent="0" rank="0" text="" dxfId="6">
      <formula>"U"</formula>
    </cfRule>
  </conditionalFormatting>
  <conditionalFormatting sqref="J5:J370">
    <cfRule type="expression" priority="9" aboveAverage="0" equalAverage="0" bottom="0" percent="0" rank="0" text="" dxfId="8">
      <formula>AND(ISNUMBER(J5),J5&lt;11)</formula>
    </cfRule>
  </conditionalFormatting>
  <conditionalFormatting sqref="N5:N370">
    <cfRule type="cellIs" priority="10" operator="equal" aboveAverage="0" equalAverage="0" bottom="0" percent="0" rank="0" text="" dxfId="0">
      <formula>"F"</formula>
    </cfRule>
    <cfRule type="cellIs" priority="11" operator="equal" aboveAverage="0" equalAverage="0" bottom="0" percent="0" rank="0" text="" dxfId="1">
      <formula>"S"</formula>
    </cfRule>
    <cfRule type="cellIs" priority="12" operator="equal" aboveAverage="0" equalAverage="0" bottom="0" percent="0" rank="0" text="" dxfId="2">
      <formula>"N"</formula>
    </cfRule>
    <cfRule type="cellIs" priority="13" operator="equal" aboveAverage="0" equalAverage="0" bottom="0" percent="0" rank="0" text="" dxfId="3">
      <formula>"T12"</formula>
    </cfRule>
    <cfRule type="cellIs" priority="14" operator="equal" aboveAverage="0" equalAverage="0" bottom="0" percent="0" rank="0" text="" dxfId="4">
      <formula>"N12"</formula>
    </cfRule>
    <cfRule type="cellIs" priority="15" operator="equal" aboveAverage="0" equalAverage="0" bottom="0" percent="0" rank="0" text="" dxfId="5">
      <formula>"-"</formula>
    </cfRule>
    <cfRule type="cellIs" priority="16" operator="equal" aboveAverage="0" equalAverage="0" bottom="0" percent="0" rank="0" text="" dxfId="6">
      <formula>"U"</formula>
    </cfRule>
  </conditionalFormatting>
  <conditionalFormatting sqref="T5:T370">
    <cfRule type="expression" priority="17" aboveAverage="0" equalAverage="0" bottom="0" percent="0" rank="0" text="" dxfId="8">
      <formula>AND(ISNUMBER(T5),T5&lt;11)</formula>
    </cfRule>
  </conditionalFormatting>
  <conditionalFormatting sqref="X5:X370">
    <cfRule type="cellIs" priority="18" operator="equal" aboveAverage="0" equalAverage="0" bottom="0" percent="0" rank="0" text="" dxfId="0">
      <formula>"F"</formula>
    </cfRule>
    <cfRule type="cellIs" priority="19" operator="equal" aboveAverage="0" equalAverage="0" bottom="0" percent="0" rank="0" text="" dxfId="1">
      <formula>"S"</formula>
    </cfRule>
    <cfRule type="cellIs" priority="20" operator="equal" aboveAverage="0" equalAverage="0" bottom="0" percent="0" rank="0" text="" dxfId="2">
      <formula>"N"</formula>
    </cfRule>
    <cfRule type="cellIs" priority="21" operator="equal" aboveAverage="0" equalAverage="0" bottom="0" percent="0" rank="0" text="" dxfId="3">
      <formula>"T12"</formula>
    </cfRule>
    <cfRule type="cellIs" priority="22" operator="equal" aboveAverage="0" equalAverage="0" bottom="0" percent="0" rank="0" text="" dxfId="4">
      <formula>"N12"</formula>
    </cfRule>
    <cfRule type="cellIs" priority="23" operator="equal" aboveAverage="0" equalAverage="0" bottom="0" percent="0" rank="0" text="" dxfId="5">
      <formula>"-"</formula>
    </cfRule>
    <cfRule type="cellIs" priority="24" operator="equal" aboveAverage="0" equalAverage="0" bottom="0" percent="0" rank="0" text="" dxfId="6">
      <formula>"U"</formula>
    </cfRule>
  </conditionalFormatting>
  <conditionalFormatting sqref="AD5:AD370">
    <cfRule type="expression" priority="25" aboveAverage="0" equalAverage="0" bottom="0" percent="0" rank="0" text="" dxfId="8">
      <formula>AND(ISNUMBER(AD5),AD5&lt;11)</formula>
    </cfRule>
  </conditionalFormatting>
  <conditionalFormatting sqref="AH5:AH370">
    <cfRule type="cellIs" priority="26" operator="equal" aboveAverage="0" equalAverage="0" bottom="0" percent="0" rank="0" text="" dxfId="0">
      <formula>"F"</formula>
    </cfRule>
    <cfRule type="cellIs" priority="27" operator="equal" aboveAverage="0" equalAverage="0" bottom="0" percent="0" rank="0" text="" dxfId="1">
      <formula>"S"</formula>
    </cfRule>
    <cfRule type="cellIs" priority="28" operator="equal" aboveAverage="0" equalAverage="0" bottom="0" percent="0" rank="0" text="" dxfId="2">
      <formula>"N"</formula>
    </cfRule>
    <cfRule type="cellIs" priority="29" operator="equal" aboveAverage="0" equalAverage="0" bottom="0" percent="0" rank="0" text="" dxfId="3">
      <formula>"T12"</formula>
    </cfRule>
    <cfRule type="cellIs" priority="30" operator="equal" aboveAverage="0" equalAverage="0" bottom="0" percent="0" rank="0" text="" dxfId="4">
      <formula>"N12"</formula>
    </cfRule>
    <cfRule type="cellIs" priority="31" operator="equal" aboveAverage="0" equalAverage="0" bottom="0" percent="0" rank="0" text="" dxfId="5">
      <formula>"-"</formula>
    </cfRule>
    <cfRule type="cellIs" priority="32" operator="equal" aboveAverage="0" equalAverage="0" bottom="0" percent="0" rank="0" text="" dxfId="6">
      <formula>"U"</formula>
    </cfRule>
  </conditionalFormatting>
  <conditionalFormatting sqref="AN5:AN370">
    <cfRule type="expression" priority="33" aboveAverage="0" equalAverage="0" bottom="0" percent="0" rank="0" text="" dxfId="8">
      <formula>AND(ISNUMBER(AN5),AN5&lt;11)</formula>
    </cfRule>
  </conditionalFormatting>
  <conditionalFormatting sqref="AR5:AR370">
    <cfRule type="cellIs" priority="34" operator="equal" aboveAverage="0" equalAverage="0" bottom="0" percent="0" rank="0" text="" dxfId="0">
      <formula>"F"</formula>
    </cfRule>
    <cfRule type="cellIs" priority="35" operator="equal" aboveAverage="0" equalAverage="0" bottom="0" percent="0" rank="0" text="" dxfId="1">
      <formula>"S"</formula>
    </cfRule>
    <cfRule type="cellIs" priority="36" operator="equal" aboveAverage="0" equalAverage="0" bottom="0" percent="0" rank="0" text="" dxfId="2">
      <formula>"N"</formula>
    </cfRule>
    <cfRule type="cellIs" priority="37" operator="equal" aboveAverage="0" equalAverage="0" bottom="0" percent="0" rank="0" text="" dxfId="3">
      <formula>"T12"</formula>
    </cfRule>
    <cfRule type="cellIs" priority="38" operator="equal" aboveAverage="0" equalAverage="0" bottom="0" percent="0" rank="0" text="" dxfId="4">
      <formula>"N12"</formula>
    </cfRule>
    <cfRule type="cellIs" priority="39" operator="equal" aboveAverage="0" equalAverage="0" bottom="0" percent="0" rank="0" text="" dxfId="5">
      <formula>"-"</formula>
    </cfRule>
    <cfRule type="cellIs" priority="40" operator="equal" aboveAverage="0" equalAverage="0" bottom="0" percent="0" rank="0" text="" dxfId="6">
      <formula>"U"</formula>
    </cfRule>
  </conditionalFormatting>
  <conditionalFormatting sqref="AX5:AX370">
    <cfRule type="expression" priority="41" aboveAverage="0" equalAverage="0" bottom="0" percent="0" rank="0" text="" dxfId="8">
      <formula>AND(ISNUMBER(AX5),AX5&lt;11)</formula>
    </cfRule>
  </conditionalFormatting>
  <conditionalFormatting sqref="A5:C370">
    <cfRule type="expression" priority="42" aboveAverage="0" equalAverage="0" bottom="0" percent="0" rank="0" text="" dxfId="9">
      <formula>WEEKDAY($A5,2)&gt;=6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6" min="5" style="0" width="14"/>
    <col collapsed="false" customWidth="true" hidden="false" outlineLevel="0" max="7" min="7" style="0" width="15"/>
    <col collapsed="false" customWidth="true" hidden="false" outlineLevel="0" max="8" min="8" style="0" width="14"/>
    <col collapsed="false" customWidth="true" hidden="false" outlineLevel="0" max="10" min="9" style="0" width="13"/>
    <col collapsed="false" customWidth="true" hidden="false" outlineLevel="0" max="11" min="11" style="0" width="15"/>
  </cols>
  <sheetData>
    <row r="1" customFormat="false" ht="17.35" hidden="false" customHeight="false" outlineLevel="0" collapsed="false">
      <c r="A1" s="7" t="s">
        <v>87</v>
      </c>
    </row>
    <row r="2" customFormat="false" ht="15" hidden="false" customHeight="false" outlineLevel="0" collapsed="false">
      <c r="A2" s="2" t="str">
        <f aca="false">" Jahr "&amp;Einstellungen!$C$4&amp;" · Kalendertage: "&amp;COUNT(Jahr!$A$5:$A$370)</f>
        <v> Jahr 2027 · Kalendertage: 365</v>
      </c>
    </row>
    <row r="4" customFormat="false" ht="42" hidden="false" customHeight="true" outlineLevel="0" collapsed="false">
      <c r="A4" s="14" t="s">
        <v>88</v>
      </c>
      <c r="B4" s="14" t="s">
        <v>89</v>
      </c>
      <c r="C4" s="14" t="s">
        <v>90</v>
      </c>
      <c r="D4" s="14" t="s">
        <v>91</v>
      </c>
      <c r="E4" s="14" t="s">
        <v>92</v>
      </c>
      <c r="F4" s="14" t="s">
        <v>93</v>
      </c>
      <c r="G4" s="14" t="s">
        <v>94</v>
      </c>
      <c r="H4" s="14" t="s">
        <v>95</v>
      </c>
      <c r="I4" s="14" t="s">
        <v>96</v>
      </c>
      <c r="J4" s="14" t="s">
        <v>97</v>
      </c>
      <c r="K4" s="14" t="s">
        <v>98</v>
      </c>
    </row>
    <row r="5" customFormat="false" ht="15" hidden="false" customHeight="false" outlineLevel="0" collapsed="false">
      <c r="A5" s="29" t="s">
        <v>70</v>
      </c>
      <c r="B5" s="30" t="n">
        <f aca="false">IF(COUNTA(Muster!$C$6:$BF$6)=0,"",COUNTIF(Jahr!$E$5:$E$370,"&gt;0"))</f>
        <v>273</v>
      </c>
      <c r="C5" s="31" t="n">
        <f aca="false">IF(COUNTA(Muster!$C$6:$BF$6)=0,"",SUM(Jahr!$E$5:$E$370))</f>
        <v>2184</v>
      </c>
      <c r="D5" s="32" t="n">
        <f aca="false">IF(COUNTA(Muster!$C$6:$BF$6)=0,"",IF(COUNT(Jahr!$A$5:$A$370)=0,0,C5/COUNT(Jahr!$A$5:$A$370)*7))</f>
        <v>41.8849315068493</v>
      </c>
      <c r="E5" s="30" t="n">
        <f aca="false">IF(COUNTA(Muster!$C$6:$BF$6)=0,"",COUNTIF(Jahr!$F$5:$F$370,"&gt;0"))</f>
        <v>91</v>
      </c>
      <c r="F5" s="31" t="n">
        <f aca="false">IF(COUNTA(Muster!$C$6:$BF$6)=0,"",SUM(Jahr!$F$5:$F$370))</f>
        <v>637</v>
      </c>
      <c r="G5" s="32" t="n">
        <f aca="false">IF(COUNTA(Muster!$C$6:$BF$6)=0,"",IF(COUNT(Jahr!$J$5:$J$370)=0,"",MIN(Jahr!$J$5:$J$370)))</f>
        <v>16</v>
      </c>
      <c r="H5" s="30" t="n">
        <f aca="false">IF(COUNTA(Muster!$C$6:$BF$6)=0,"",COUNTIF(Jahr!$J$5:$J$370,"&lt;11"))</f>
        <v>0</v>
      </c>
      <c r="I5" s="30" t="n">
        <f aca="false">IF(COUNTA(Muster!$C$6:$BF$6)=0,"",MAX(Jahr!$K$5:$K$370))</f>
        <v>6</v>
      </c>
      <c r="J5" s="30" t="n">
        <f aca="false">IF(COUNTA(Muster!$C$6:$BF$6)=0,"",MAX(Jahr!$L$5:$L$370))</f>
        <v>2</v>
      </c>
      <c r="K5" s="30" t="n">
        <f aca="false">IF(COUNTA(Muster!$C$6:$BF$6)=0,"",SUM(Jahr!$M$5:$M$370))</f>
        <v>28</v>
      </c>
    </row>
    <row r="6" customFormat="false" ht="15" hidden="false" customHeight="false" outlineLevel="0" collapsed="false">
      <c r="A6" s="29" t="s">
        <v>71</v>
      </c>
      <c r="B6" s="30" t="n">
        <f aca="false">IF(COUNTA(Muster!$C$7:$BF$7)=0,"",COUNTIF(Jahr!$O$5:$O$370,"&gt;0"))</f>
        <v>273</v>
      </c>
      <c r="C6" s="31" t="n">
        <f aca="false">IF(COUNTA(Muster!$C$7:$BF$7)=0,"",SUM(Jahr!$O$5:$O$370))</f>
        <v>2184</v>
      </c>
      <c r="D6" s="32" t="n">
        <f aca="false">IF(COUNTA(Muster!$C$7:$BF$7)=0,"",IF(COUNT(Jahr!$A$5:$A$370)=0,0,C6/COUNT(Jahr!$A$5:$A$370)*7))</f>
        <v>41.8849315068493</v>
      </c>
      <c r="E6" s="30" t="n">
        <f aca="false">IF(COUNTA(Muster!$C$7:$BF$7)=0,"",COUNTIF(Jahr!$P$5:$P$370,"&gt;0"))</f>
        <v>92</v>
      </c>
      <c r="F6" s="31" t="n">
        <f aca="false">IF(COUNTA(Muster!$C$7:$BF$7)=0,"",SUM(Jahr!$P$5:$P$370))</f>
        <v>644</v>
      </c>
      <c r="G6" s="32" t="n">
        <f aca="false">IF(COUNTA(Muster!$C$7:$BF$7)=0,"",IF(COUNT(Jahr!$T$5:$T$370)=0,"",MIN(Jahr!$T$5:$T$370)))</f>
        <v>16</v>
      </c>
      <c r="H6" s="30" t="n">
        <f aca="false">IF(COUNTA(Muster!$C$7:$BF$7)=0,"",COUNTIF(Jahr!$T$5:$T$370,"&lt;11"))</f>
        <v>0</v>
      </c>
      <c r="I6" s="30" t="n">
        <f aca="false">IF(COUNTA(Muster!$C$7:$BF$7)=0,"",MAX(Jahr!$U$5:$U$370))</f>
        <v>6</v>
      </c>
      <c r="J6" s="30" t="n">
        <f aca="false">IF(COUNTA(Muster!$C$7:$BF$7)=0,"",MAX(Jahr!$V$5:$V$370))</f>
        <v>2</v>
      </c>
      <c r="K6" s="30" t="n">
        <f aca="false">IF(COUNTA(Muster!$C$7:$BF$7)=0,"",SUM(Jahr!$W$5:$W$370))</f>
        <v>26</v>
      </c>
    </row>
    <row r="7" customFormat="false" ht="15" hidden="false" customHeight="false" outlineLevel="0" collapsed="false">
      <c r="A7" s="29" t="s">
        <v>72</v>
      </c>
      <c r="B7" s="30" t="n">
        <f aca="false">IF(COUNTA(Muster!$C$8:$BF$8)=0,"",COUNTIF(Jahr!$Y$5:$Y$370,"&gt;0"))</f>
        <v>275</v>
      </c>
      <c r="C7" s="31" t="n">
        <f aca="false">IF(COUNTA(Muster!$C$8:$BF$8)=0,"",SUM(Jahr!$Y$5:$Y$370))</f>
        <v>2200</v>
      </c>
      <c r="D7" s="32" t="n">
        <f aca="false">IF(COUNTA(Muster!$C$8:$BF$8)=0,"",IF(COUNT(Jahr!$A$5:$A$370)=0,0,C7/COUNT(Jahr!$A$5:$A$370)*7))</f>
        <v>42.1917808219178</v>
      </c>
      <c r="E7" s="30" t="n">
        <f aca="false">IF(COUNTA(Muster!$C$8:$BF$8)=0,"",COUNTIF(Jahr!$Z$5:$Z$370,"&gt;0"))</f>
        <v>92</v>
      </c>
      <c r="F7" s="31" t="n">
        <f aca="false">IF(COUNTA(Muster!$C$8:$BF$8)=0,"",SUM(Jahr!$Z$5:$Z$370))</f>
        <v>644</v>
      </c>
      <c r="G7" s="32" t="n">
        <f aca="false">IF(COUNTA(Muster!$C$8:$BF$8)=0,"",IF(COUNT(Jahr!$AD$5:$AD$370)=0,"",MIN(Jahr!$AD$5:$AD$370)))</f>
        <v>16</v>
      </c>
      <c r="H7" s="30" t="n">
        <f aca="false">IF(COUNTA(Muster!$C$8:$BF$8)=0,"",COUNTIF(Jahr!$AD$5:$AD$370,"&lt;11"))</f>
        <v>0</v>
      </c>
      <c r="I7" s="30" t="n">
        <f aca="false">IF(COUNTA(Muster!$C$8:$BF$8)=0,"",MAX(Jahr!$AE$5:$AE$370))</f>
        <v>6</v>
      </c>
      <c r="J7" s="30" t="n">
        <f aca="false">IF(COUNTA(Muster!$C$8:$BF$8)=0,"",MAX(Jahr!$AF$5:$AF$370))</f>
        <v>2</v>
      </c>
      <c r="K7" s="30" t="n">
        <f aca="false">IF(COUNTA(Muster!$C$8:$BF$8)=0,"",SUM(Jahr!$AG$5:$AG$370))</f>
        <v>24</v>
      </c>
    </row>
    <row r="8" customFormat="false" ht="15" hidden="false" customHeight="false" outlineLevel="0" collapsed="false">
      <c r="A8" s="29" t="s">
        <v>73</v>
      </c>
      <c r="B8" s="30" t="n">
        <f aca="false">IF(COUNTA(Muster!$C$9:$BF$9)=0,"",COUNTIF(Jahr!$AI$5:$AI$370,"&gt;0"))</f>
        <v>274</v>
      </c>
      <c r="C8" s="31" t="n">
        <f aca="false">IF(COUNTA(Muster!$C$9:$BF$9)=0,"",SUM(Jahr!$AI$5:$AI$370))</f>
        <v>2192</v>
      </c>
      <c r="D8" s="32" t="n">
        <f aca="false">IF(COUNTA(Muster!$C$9:$BF$9)=0,"",IF(COUNT(Jahr!$A$5:$A$370)=0,0,C8/COUNT(Jahr!$A$5:$A$370)*7))</f>
        <v>42.0383561643836</v>
      </c>
      <c r="E8" s="30" t="n">
        <f aca="false">IF(COUNTA(Muster!$C$9:$BF$9)=0,"",COUNTIF(Jahr!$AJ$5:$AJ$370,"&gt;0"))</f>
        <v>90</v>
      </c>
      <c r="F8" s="31" t="n">
        <f aca="false">IF(COUNTA(Muster!$C$9:$BF$9)=0,"",SUM(Jahr!$AJ$5:$AJ$370))</f>
        <v>630</v>
      </c>
      <c r="G8" s="32" t="n">
        <f aca="false">IF(COUNTA(Muster!$C$9:$BF$9)=0,"",IF(COUNT(Jahr!$AN$5:$AN$370)=0,"",MIN(Jahr!$AN$5:$AN$370)))</f>
        <v>16</v>
      </c>
      <c r="H8" s="30" t="n">
        <f aca="false">IF(COUNTA(Muster!$C$9:$BF$9)=0,"",COUNTIF(Jahr!$AN$5:$AN$370,"&lt;11"))</f>
        <v>0</v>
      </c>
      <c r="I8" s="30" t="n">
        <f aca="false">IF(COUNTA(Muster!$C$9:$BF$9)=0,"",MAX(Jahr!$AO$5:$AO$370))</f>
        <v>6</v>
      </c>
      <c r="J8" s="30" t="n">
        <f aca="false">IF(COUNTA(Muster!$C$9:$BF$9)=0,"",MAX(Jahr!$AP$5:$AP$370))</f>
        <v>2</v>
      </c>
      <c r="K8" s="30" t="n">
        <f aca="false">IF(COUNTA(Muster!$C$9:$BF$9)=0,"",SUM(Jahr!$AQ$5:$AQ$370))</f>
        <v>26</v>
      </c>
    </row>
    <row r="9" customFormat="false" ht="15" hidden="false" customHeight="false" outlineLevel="0" collapsed="false">
      <c r="A9" s="29" t="s">
        <v>74</v>
      </c>
      <c r="B9" s="30" t="str">
        <f aca="false">IF(COUNTA(Muster!$C$10:$BF$10)=0,"",COUNTIF(Jahr!$AS$5:$AS$370,"&gt;0"))</f>
        <v/>
      </c>
      <c r="C9" s="31" t="str">
        <f aca="false">IF(COUNTA(Muster!$C$10:$BF$10)=0,"",SUM(Jahr!$AS$5:$AS$370))</f>
        <v/>
      </c>
      <c r="D9" s="32" t="str">
        <f aca="false">IF(COUNTA(Muster!$C$10:$BF$10)=0,"",IF(COUNT(Jahr!$A$5:$A$370)=0,0,C9/COUNT(Jahr!$A$5:$A$370)*7))</f>
        <v/>
      </c>
      <c r="E9" s="30" t="str">
        <f aca="false">IF(COUNTA(Muster!$C$10:$BF$10)=0,"",COUNTIF(Jahr!$AT$5:$AT$370,"&gt;0"))</f>
        <v/>
      </c>
      <c r="F9" s="31" t="str">
        <f aca="false">IF(COUNTA(Muster!$C$10:$BF$10)=0,"",SUM(Jahr!$AT$5:$AT$370))</f>
        <v/>
      </c>
      <c r="G9" s="32" t="str">
        <f aca="false">IF(COUNTA(Muster!$C$10:$BF$10)=0,"",IF(COUNT(Jahr!$AX$5:$AX$370)=0,"",MIN(Jahr!$AX$5:$AX$370)))</f>
        <v/>
      </c>
      <c r="H9" s="30" t="str">
        <f aca="false">IF(COUNTA(Muster!$C$10:$BF$10)=0,"",COUNTIF(Jahr!$AX$5:$AX$370,"&lt;11"))</f>
        <v/>
      </c>
      <c r="I9" s="30" t="str">
        <f aca="false">IF(COUNTA(Muster!$C$10:$BF$10)=0,"",MAX(Jahr!$AY$5:$AY$370))</f>
        <v/>
      </c>
      <c r="J9" s="30" t="str">
        <f aca="false">IF(COUNTA(Muster!$C$10:$BF$10)=0,"",MAX(Jahr!$AZ$5:$AZ$370))</f>
        <v/>
      </c>
      <c r="K9" s="30" t="str">
        <f aca="false">IF(COUNTA(Muster!$C$10:$BF$10)=0,"",SUM(Jahr!$BA$5:$BA$370))</f>
        <v/>
      </c>
    </row>
    <row r="12" customFormat="false" ht="15.75" hidden="false" customHeight="true" outlineLevel="0" collapsed="false">
      <c r="A12" s="33" t="s">
        <v>99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customFormat="false" ht="25.5" hidden="false" customHeight="true" outlineLevel="0" collapsed="false">
      <c r="A13" s="34" t="s">
        <v>100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customFormat="false" ht="25.5" hidden="false" customHeight="true" outlineLevel="0" collapsed="false">
      <c r="A14" s="34" t="s">
        <v>101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</row>
    <row r="15" customFormat="false" ht="25.5" hidden="false" customHeight="true" outlineLevel="0" collapsed="false">
      <c r="A15" s="34" t="s">
        <v>102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customFormat="false" ht="25.5" hidden="false" customHeight="true" outlineLevel="0" collapsed="false">
      <c r="A16" s="34" t="s">
        <v>103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</row>
    <row r="17" customFormat="false" ht="25.5" hidden="false" customHeight="true" outlineLevel="0" collapsed="false">
      <c r="A17" s="34" t="s">
        <v>104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</row>
    <row r="18" customFormat="false" ht="25.5" hidden="false" customHeight="true" outlineLevel="0" collapsed="false">
      <c r="A18" s="34" t="s">
        <v>105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</row>
    <row r="19" customFormat="false" ht="25.5" hidden="false" customHeight="true" outlineLevel="0" collapsed="false">
      <c r="A19" s="34" t="s">
        <v>106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</row>
    <row r="21" customFormat="false" ht="15" hidden="false" customHeight="false" outlineLevel="0" collapsed="false">
      <c r="A21" s="35" t="s">
        <v>107</v>
      </c>
    </row>
    <row r="22" customFormat="false" ht="15" hidden="false" customHeight="false" outlineLevel="0" collapsed="false">
      <c r="A22" s="36" t="s">
        <v>79</v>
      </c>
      <c r="B22" s="19" t="s">
        <v>70</v>
      </c>
      <c r="C22" s="19" t="s">
        <v>71</v>
      </c>
      <c r="D22" s="19" t="s">
        <v>72</v>
      </c>
      <c r="E22" s="19" t="s">
        <v>73</v>
      </c>
      <c r="F22" s="19" t="s">
        <v>74</v>
      </c>
    </row>
    <row r="23" customFormat="false" ht="15" hidden="false" customHeight="false" outlineLevel="0" collapsed="false">
      <c r="A23" s="6" t="s">
        <v>108</v>
      </c>
      <c r="B23" s="32" t="n">
        <f aca="false">IF(COUNTA(Muster!$C$6:$BF$6)=0,"",SUMIFS(Jahr!$E$5:$E$370,Jahr!$C$5:$C$370,1))</f>
        <v>184</v>
      </c>
      <c r="C23" s="32" t="n">
        <f aca="false">IF(COUNTA(Muster!$C$7:$BF$7)=0,"",SUMIFS(Jahr!$O$5:$O$370,Jahr!$C$5:$C$370,1))</f>
        <v>184</v>
      </c>
      <c r="D23" s="32" t="n">
        <f aca="false">IF(COUNTA(Muster!$C$8:$BF$8)=0,"",SUMIFS(Jahr!$Y$5:$Y$370,Jahr!$C$5:$C$370,1))</f>
        <v>184</v>
      </c>
      <c r="E23" s="32" t="n">
        <f aca="false">IF(COUNTA(Muster!$C$9:$BF$9)=0,"",SUMIFS(Jahr!$AI$5:$AI$370,Jahr!$C$5:$C$370,1))</f>
        <v>192</v>
      </c>
      <c r="F23" s="32" t="str">
        <f aca="false">IF(COUNTA(Muster!$C$10:$BF$10)=0,"",SUMIFS(Jahr!$AS$5:$AS$370,Jahr!$C$5:$C$370,1))</f>
        <v/>
      </c>
    </row>
    <row r="24" customFormat="false" ht="15" hidden="false" customHeight="false" outlineLevel="0" collapsed="false">
      <c r="A24" s="6" t="s">
        <v>109</v>
      </c>
      <c r="B24" s="32" t="n">
        <f aca="false">IF(COUNTA(Muster!$C$6:$BF$6)=0,"",SUMIFS(Jahr!$E$5:$E$370,Jahr!$C$5:$C$370,2))</f>
        <v>160</v>
      </c>
      <c r="C24" s="32" t="n">
        <f aca="false">IF(COUNTA(Muster!$C$7:$BF$7)=0,"",SUMIFS(Jahr!$O$5:$O$370,Jahr!$C$5:$C$370,2))</f>
        <v>176</v>
      </c>
      <c r="D24" s="32" t="n">
        <f aca="false">IF(COUNTA(Muster!$C$8:$BF$8)=0,"",SUMIFS(Jahr!$Y$5:$Y$370,Jahr!$C$5:$C$370,2))</f>
        <v>176</v>
      </c>
      <c r="E24" s="32" t="n">
        <f aca="false">IF(COUNTA(Muster!$C$9:$BF$9)=0,"",SUMIFS(Jahr!$AI$5:$AI$370,Jahr!$C$5:$C$370,2))</f>
        <v>160</v>
      </c>
      <c r="F24" s="32" t="str">
        <f aca="false">IF(COUNTA(Muster!$C$10:$BF$10)=0,"",SUMIFS(Jahr!$AS$5:$AS$370,Jahr!$C$5:$C$370,2))</f>
        <v/>
      </c>
    </row>
    <row r="25" customFormat="false" ht="15" hidden="false" customHeight="false" outlineLevel="0" collapsed="false">
      <c r="A25" s="6" t="s">
        <v>110</v>
      </c>
      <c r="B25" s="32" t="n">
        <f aca="false">IF(COUNTA(Muster!$C$6:$BF$6)=0,"",SUMIFS(Jahr!$E$5:$E$370,Jahr!$C$5:$C$370,3))</f>
        <v>192</v>
      </c>
      <c r="C25" s="32" t="n">
        <f aca="false">IF(COUNTA(Muster!$C$7:$BF$7)=0,"",SUMIFS(Jahr!$O$5:$O$370,Jahr!$C$5:$C$370,3))</f>
        <v>184</v>
      </c>
      <c r="D25" s="32" t="n">
        <f aca="false">IF(COUNTA(Muster!$C$8:$BF$8)=0,"",SUMIFS(Jahr!$Y$5:$Y$370,Jahr!$C$5:$C$370,3))</f>
        <v>184</v>
      </c>
      <c r="E25" s="32" t="n">
        <f aca="false">IF(COUNTA(Muster!$C$9:$BF$9)=0,"",SUMIFS(Jahr!$AI$5:$AI$370,Jahr!$C$5:$C$370,3))</f>
        <v>184</v>
      </c>
      <c r="F25" s="32" t="str">
        <f aca="false">IF(COUNTA(Muster!$C$10:$BF$10)=0,"",SUMIFS(Jahr!$AS$5:$AS$370,Jahr!$C$5:$C$370,3))</f>
        <v/>
      </c>
    </row>
    <row r="26" customFormat="false" ht="15" hidden="false" customHeight="false" outlineLevel="0" collapsed="false">
      <c r="A26" s="6" t="s">
        <v>111</v>
      </c>
      <c r="B26" s="32" t="n">
        <f aca="false">IF(COUNTA(Muster!$C$6:$BF$6)=0,"",SUMIFS(Jahr!$E$5:$E$370,Jahr!$C$5:$C$370,4))</f>
        <v>184</v>
      </c>
      <c r="C26" s="32" t="n">
        <f aca="false">IF(COUNTA(Muster!$C$7:$BF$7)=0,"",SUMIFS(Jahr!$O$5:$O$370,Jahr!$C$5:$C$370,4))</f>
        <v>176</v>
      </c>
      <c r="D26" s="32" t="n">
        <f aca="false">IF(COUNTA(Muster!$C$8:$BF$8)=0,"",SUMIFS(Jahr!$Y$5:$Y$370,Jahr!$C$5:$C$370,4))</f>
        <v>176</v>
      </c>
      <c r="E26" s="32" t="n">
        <f aca="false">IF(COUNTA(Muster!$C$9:$BF$9)=0,"",SUMIFS(Jahr!$AI$5:$AI$370,Jahr!$C$5:$C$370,4))</f>
        <v>184</v>
      </c>
      <c r="F26" s="32" t="str">
        <f aca="false">IF(COUNTA(Muster!$C$10:$BF$10)=0,"",SUMIFS(Jahr!$AS$5:$AS$370,Jahr!$C$5:$C$370,4))</f>
        <v/>
      </c>
    </row>
    <row r="27" customFormat="false" ht="15" hidden="false" customHeight="false" outlineLevel="0" collapsed="false">
      <c r="A27" s="6" t="s">
        <v>112</v>
      </c>
      <c r="B27" s="32" t="n">
        <f aca="false">IF(COUNTA(Muster!$C$6:$BF$6)=0,"",SUMIFS(Jahr!$E$5:$E$370,Jahr!$C$5:$C$370,5))</f>
        <v>184</v>
      </c>
      <c r="C27" s="32" t="n">
        <f aca="false">IF(COUNTA(Muster!$C$7:$BF$7)=0,"",SUMIFS(Jahr!$O$5:$O$370,Jahr!$C$5:$C$370,5))</f>
        <v>184</v>
      </c>
      <c r="D27" s="32" t="n">
        <f aca="false">IF(COUNTA(Muster!$C$8:$BF$8)=0,"",SUMIFS(Jahr!$Y$5:$Y$370,Jahr!$C$5:$C$370,5))</f>
        <v>184</v>
      </c>
      <c r="E27" s="32" t="n">
        <f aca="false">IF(COUNTA(Muster!$C$9:$BF$9)=0,"",SUMIFS(Jahr!$AI$5:$AI$370,Jahr!$C$5:$C$370,5))</f>
        <v>192</v>
      </c>
      <c r="F27" s="32" t="str">
        <f aca="false">IF(COUNTA(Muster!$C$10:$BF$10)=0,"",SUMIFS(Jahr!$AS$5:$AS$370,Jahr!$C$5:$C$370,5))</f>
        <v/>
      </c>
    </row>
    <row r="28" customFormat="false" ht="15" hidden="false" customHeight="false" outlineLevel="0" collapsed="false">
      <c r="A28" s="6" t="s">
        <v>113</v>
      </c>
      <c r="B28" s="32" t="n">
        <f aca="false">IF(COUNTA(Muster!$C$6:$BF$6)=0,"",SUMIFS(Jahr!$E$5:$E$370,Jahr!$C$5:$C$370,6))</f>
        <v>176</v>
      </c>
      <c r="C28" s="32" t="n">
        <f aca="false">IF(COUNTA(Muster!$C$7:$BF$7)=0,"",SUMIFS(Jahr!$O$5:$O$370,Jahr!$C$5:$C$370,6))</f>
        <v>176</v>
      </c>
      <c r="D28" s="32" t="n">
        <f aca="false">IF(COUNTA(Muster!$C$8:$BF$8)=0,"",SUMIFS(Jahr!$Y$5:$Y$370,Jahr!$C$5:$C$370,6))</f>
        <v>192</v>
      </c>
      <c r="E28" s="32" t="n">
        <f aca="false">IF(COUNTA(Muster!$C$9:$BF$9)=0,"",SUMIFS(Jahr!$AI$5:$AI$370,Jahr!$C$5:$C$370,6))</f>
        <v>176</v>
      </c>
      <c r="F28" s="32" t="str">
        <f aca="false">IF(COUNTA(Muster!$C$10:$BF$10)=0,"",SUMIFS(Jahr!$AS$5:$AS$370,Jahr!$C$5:$C$370,6))</f>
        <v/>
      </c>
    </row>
    <row r="29" customFormat="false" ht="15" hidden="false" customHeight="false" outlineLevel="0" collapsed="false">
      <c r="A29" s="6" t="s">
        <v>114</v>
      </c>
      <c r="B29" s="32" t="n">
        <f aca="false">IF(COUNTA(Muster!$C$6:$BF$6)=0,"",SUMIFS(Jahr!$E$5:$E$370,Jahr!$C$5:$C$370,7))</f>
        <v>184</v>
      </c>
      <c r="C29" s="32" t="n">
        <f aca="false">IF(COUNTA(Muster!$C$7:$BF$7)=0,"",SUMIFS(Jahr!$O$5:$O$370,Jahr!$C$5:$C$370,7))</f>
        <v>192</v>
      </c>
      <c r="D29" s="32" t="n">
        <f aca="false">IF(COUNTA(Muster!$C$8:$BF$8)=0,"",SUMIFS(Jahr!$Y$5:$Y$370,Jahr!$C$5:$C$370,7))</f>
        <v>184</v>
      </c>
      <c r="E29" s="32" t="n">
        <f aca="false">IF(COUNTA(Muster!$C$9:$BF$9)=0,"",SUMIFS(Jahr!$AI$5:$AI$370,Jahr!$C$5:$C$370,7))</f>
        <v>184</v>
      </c>
      <c r="F29" s="32" t="str">
        <f aca="false">IF(COUNTA(Muster!$C$10:$BF$10)=0,"",SUMIFS(Jahr!$AS$5:$AS$370,Jahr!$C$5:$C$370,7))</f>
        <v/>
      </c>
    </row>
    <row r="30" customFormat="false" ht="15" hidden="false" customHeight="false" outlineLevel="0" collapsed="false">
      <c r="A30" s="6" t="s">
        <v>115</v>
      </c>
      <c r="B30" s="32" t="n">
        <f aca="false">IF(COUNTA(Muster!$C$6:$BF$6)=0,"",SUMIFS(Jahr!$E$5:$E$370,Jahr!$C$5:$C$370,8))</f>
        <v>184</v>
      </c>
      <c r="C30" s="32" t="n">
        <f aca="false">IF(COUNTA(Muster!$C$7:$BF$7)=0,"",SUMIFS(Jahr!$O$5:$O$370,Jahr!$C$5:$C$370,8))</f>
        <v>192</v>
      </c>
      <c r="D30" s="32" t="n">
        <f aca="false">IF(COUNTA(Muster!$C$8:$BF$8)=0,"",SUMIFS(Jahr!$Y$5:$Y$370,Jahr!$C$5:$C$370,8))</f>
        <v>184</v>
      </c>
      <c r="E30" s="32" t="n">
        <f aca="false">IF(COUNTA(Muster!$C$9:$BF$9)=0,"",SUMIFS(Jahr!$AI$5:$AI$370,Jahr!$C$5:$C$370,8))</f>
        <v>184</v>
      </c>
      <c r="F30" s="32" t="str">
        <f aca="false">IF(COUNTA(Muster!$C$10:$BF$10)=0,"",SUMIFS(Jahr!$AS$5:$AS$370,Jahr!$C$5:$C$370,8))</f>
        <v/>
      </c>
    </row>
    <row r="31" customFormat="false" ht="15" hidden="false" customHeight="false" outlineLevel="0" collapsed="false">
      <c r="A31" s="6" t="s">
        <v>116</v>
      </c>
      <c r="B31" s="32" t="n">
        <f aca="false">IF(COUNTA(Muster!$C$6:$BF$6)=0,"",SUMIFS(Jahr!$E$5:$E$370,Jahr!$C$5:$C$370,9))</f>
        <v>192</v>
      </c>
      <c r="C31" s="32" t="n">
        <f aca="false">IF(COUNTA(Muster!$C$7:$BF$7)=0,"",SUMIFS(Jahr!$O$5:$O$370,Jahr!$C$5:$C$370,9))</f>
        <v>176</v>
      </c>
      <c r="D31" s="32" t="n">
        <f aca="false">IF(COUNTA(Muster!$C$8:$BF$8)=0,"",SUMIFS(Jahr!$Y$5:$Y$370,Jahr!$C$5:$C$370,9))</f>
        <v>176</v>
      </c>
      <c r="E31" s="32" t="n">
        <f aca="false">IF(COUNTA(Muster!$C$9:$BF$9)=0,"",SUMIFS(Jahr!$AI$5:$AI$370,Jahr!$C$5:$C$370,9))</f>
        <v>176</v>
      </c>
      <c r="F31" s="32" t="str">
        <f aca="false">IF(COUNTA(Muster!$C$10:$BF$10)=0,"",SUMIFS(Jahr!$AS$5:$AS$370,Jahr!$C$5:$C$370,9))</f>
        <v/>
      </c>
    </row>
    <row r="32" customFormat="false" ht="15" hidden="false" customHeight="false" outlineLevel="0" collapsed="false">
      <c r="A32" s="6" t="s">
        <v>117</v>
      </c>
      <c r="B32" s="32" t="n">
        <f aca="false">IF(COUNTA(Muster!$C$6:$BF$6)=0,"",SUMIFS(Jahr!$E$5:$E$370,Jahr!$C$5:$C$370,10))</f>
        <v>184</v>
      </c>
      <c r="C32" s="32" t="n">
        <f aca="false">IF(COUNTA(Muster!$C$7:$BF$7)=0,"",SUMIFS(Jahr!$O$5:$O$370,Jahr!$C$5:$C$370,10))</f>
        <v>184</v>
      </c>
      <c r="D32" s="32" t="n">
        <f aca="false">IF(COUNTA(Muster!$C$8:$BF$8)=0,"",SUMIFS(Jahr!$Y$5:$Y$370,Jahr!$C$5:$C$370,10))</f>
        <v>184</v>
      </c>
      <c r="E32" s="32" t="n">
        <f aca="false">IF(COUNTA(Muster!$C$9:$BF$9)=0,"",SUMIFS(Jahr!$AI$5:$AI$370,Jahr!$C$5:$C$370,10))</f>
        <v>192</v>
      </c>
      <c r="F32" s="32" t="str">
        <f aca="false">IF(COUNTA(Muster!$C$10:$BF$10)=0,"",SUMIFS(Jahr!$AS$5:$AS$370,Jahr!$C$5:$C$370,10))</f>
        <v/>
      </c>
    </row>
    <row r="33" customFormat="false" ht="15" hidden="false" customHeight="false" outlineLevel="0" collapsed="false">
      <c r="A33" s="6" t="s">
        <v>118</v>
      </c>
      <c r="B33" s="32" t="n">
        <f aca="false">IF(COUNTA(Muster!$C$6:$BF$6)=0,"",SUMIFS(Jahr!$E$5:$E$370,Jahr!$C$5:$C$370,11))</f>
        <v>176</v>
      </c>
      <c r="C33" s="32" t="n">
        <f aca="false">IF(COUNTA(Muster!$C$7:$BF$7)=0,"",SUMIFS(Jahr!$O$5:$O$370,Jahr!$C$5:$C$370,11))</f>
        <v>176</v>
      </c>
      <c r="D33" s="32" t="n">
        <f aca="false">IF(COUNTA(Muster!$C$8:$BF$8)=0,"",SUMIFS(Jahr!$Y$5:$Y$370,Jahr!$C$5:$C$370,11))</f>
        <v>184</v>
      </c>
      <c r="E33" s="32" t="n">
        <f aca="false">IF(COUNTA(Muster!$C$9:$BF$9)=0,"",SUMIFS(Jahr!$AI$5:$AI$370,Jahr!$C$5:$C$370,11))</f>
        <v>184</v>
      </c>
      <c r="F33" s="32" t="str">
        <f aca="false">IF(COUNTA(Muster!$C$10:$BF$10)=0,"",SUMIFS(Jahr!$AS$5:$AS$370,Jahr!$C$5:$C$370,11))</f>
        <v/>
      </c>
    </row>
    <row r="34" customFormat="false" ht="15" hidden="false" customHeight="false" outlineLevel="0" collapsed="false">
      <c r="A34" s="6" t="s">
        <v>119</v>
      </c>
      <c r="B34" s="32" t="n">
        <f aca="false">IF(COUNTA(Muster!$C$6:$BF$6)=0,"",SUMIFS(Jahr!$E$5:$E$370,Jahr!$C$5:$C$370,12))</f>
        <v>184</v>
      </c>
      <c r="C34" s="32" t="n">
        <f aca="false">IF(COUNTA(Muster!$C$7:$BF$7)=0,"",SUMIFS(Jahr!$O$5:$O$370,Jahr!$C$5:$C$370,12))</f>
        <v>184</v>
      </c>
      <c r="D34" s="32" t="n">
        <f aca="false">IF(COUNTA(Muster!$C$8:$BF$8)=0,"",SUMIFS(Jahr!$Y$5:$Y$370,Jahr!$C$5:$C$370,12))</f>
        <v>192</v>
      </c>
      <c r="E34" s="32" t="n">
        <f aca="false">IF(COUNTA(Muster!$C$9:$BF$9)=0,"",SUMIFS(Jahr!$AI$5:$AI$370,Jahr!$C$5:$C$370,12))</f>
        <v>184</v>
      </c>
      <c r="F34" s="32" t="str">
        <f aca="false">IF(COUNTA(Muster!$C$10:$BF$10)=0,"",SUMIFS(Jahr!$AS$5:$AS$370,Jahr!$C$5:$C$370,12))</f>
        <v/>
      </c>
    </row>
    <row r="35" customFormat="false" ht="15" hidden="false" customHeight="false" outlineLevel="0" collapsed="false">
      <c r="A35" s="12" t="s">
        <v>120</v>
      </c>
      <c r="B35" s="37" t="n">
        <f aca="false">IF(COUNT(B23:B34)=0,"",SUM(B23:B34))</f>
        <v>2184</v>
      </c>
      <c r="C35" s="37" t="n">
        <f aca="false">IF(COUNT(C23:C34)=0,"",SUM(C23:C34))</f>
        <v>2184</v>
      </c>
      <c r="D35" s="37" t="n">
        <f aca="false">IF(COUNT(D23:D34)=0,"",SUM(D23:D34))</f>
        <v>2200</v>
      </c>
      <c r="E35" s="37" t="n">
        <f aca="false">IF(COUNT(E23:E34)=0,"",SUM(E23:E34))</f>
        <v>2192</v>
      </c>
      <c r="F35" s="37" t="str">
        <f aca="false">IF(COUNT(F23:F34)=0,"",SUM(F23:F34))</f>
        <v/>
      </c>
    </row>
  </sheetData>
  <mergeCells count="8">
    <mergeCell ref="A12:K12"/>
    <mergeCell ref="A13:K13"/>
    <mergeCell ref="A14:K14"/>
    <mergeCell ref="A15:K15"/>
    <mergeCell ref="A16:K16"/>
    <mergeCell ref="A17:K17"/>
    <mergeCell ref="A18:K18"/>
    <mergeCell ref="A19:K19"/>
  </mergeCells>
  <conditionalFormatting sqref="H5:H9">
    <cfRule type="cellIs" priority="2" operator="greaterThan" aboveAverage="0" equalAverage="0" bottom="0" percent="0" rank="0" text="" dxfId="10">
      <formula>0</formula>
    </cfRule>
  </conditionalFormatting>
  <conditionalFormatting sqref="G5:G9">
    <cfRule type="expression" priority="3" aboveAverage="0" equalAverage="0" bottom="0" percent="0" rank="0" text="" dxfId="8">
      <formula>AND(ISNUMBER(G5),G5&lt;8)</formula>
    </cfRule>
  </conditionalFormatting>
  <conditionalFormatting sqref="D5:D9">
    <cfRule type="cellIs" priority="4" operator="greaterThan" aboveAverage="0" equalAverage="0" bottom="0" percent="0" rank="0" text="" dxfId="8">
      <formula>45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7"/>
    <col collapsed="false" customWidth="true" hidden="false" outlineLevel="0" max="33" min="3" style="0" width="4.6"/>
    <col collapsed="false" customWidth="true" hidden="false" outlineLevel="0" max="37" min="34" style="0" width="8"/>
  </cols>
  <sheetData>
    <row r="1" customFormat="false" ht="17.35" hidden="false" customHeight="false" outlineLevel="0" collapsed="false">
      <c r="A1" s="7" t="str">
        <f aca="false">"Schichtplan "&amp;CHOOSE(Einstellungen!$C$5,"Januar","Februar","März","April","Mai","Juni","Juli","August","September","Oktober","November","Dezember")&amp;" "&amp;Einstellungen!$C$4</f>
        <v>Schichtplan Januar 2027</v>
      </c>
    </row>
    <row r="2" customFormat="false" ht="15" hidden="false" customHeight="false" outlineLevel="0" collapsed="false">
      <c r="A2" s="9" t="s">
        <v>121</v>
      </c>
    </row>
    <row r="4" customFormat="false" ht="30" hidden="false" customHeight="true" outlineLevel="0" collapsed="false">
      <c r="A4" s="19" t="s">
        <v>122</v>
      </c>
      <c r="B4" s="19" t="s">
        <v>88</v>
      </c>
      <c r="C4" s="38" t="n">
        <f aca="false">IF(MONTH(DATE(Einstellungen!$C$4,Einstellungen!$C$5,1)+0)=Einstellungen!$C$5,DATE(Einstellungen!$C$4,Einstellungen!$C$5,1)+0,"")</f>
        <v>46388</v>
      </c>
      <c r="D4" s="38" t="n">
        <f aca="false">IF(MONTH(DATE(Einstellungen!$C$4,Einstellungen!$C$5,1)+1)=Einstellungen!$C$5,DATE(Einstellungen!$C$4,Einstellungen!$C$5,1)+1,"")</f>
        <v>46389</v>
      </c>
      <c r="E4" s="38" t="n">
        <f aca="false">IF(MONTH(DATE(Einstellungen!$C$4,Einstellungen!$C$5,1)+2)=Einstellungen!$C$5,DATE(Einstellungen!$C$4,Einstellungen!$C$5,1)+2,"")</f>
        <v>46390</v>
      </c>
      <c r="F4" s="38" t="n">
        <f aca="false">IF(MONTH(DATE(Einstellungen!$C$4,Einstellungen!$C$5,1)+3)=Einstellungen!$C$5,DATE(Einstellungen!$C$4,Einstellungen!$C$5,1)+3,"")</f>
        <v>46391</v>
      </c>
      <c r="G4" s="38" t="n">
        <f aca="false">IF(MONTH(DATE(Einstellungen!$C$4,Einstellungen!$C$5,1)+4)=Einstellungen!$C$5,DATE(Einstellungen!$C$4,Einstellungen!$C$5,1)+4,"")</f>
        <v>46392</v>
      </c>
      <c r="H4" s="38" t="n">
        <f aca="false">IF(MONTH(DATE(Einstellungen!$C$4,Einstellungen!$C$5,1)+5)=Einstellungen!$C$5,DATE(Einstellungen!$C$4,Einstellungen!$C$5,1)+5,"")</f>
        <v>46393</v>
      </c>
      <c r="I4" s="38" t="n">
        <f aca="false">IF(MONTH(DATE(Einstellungen!$C$4,Einstellungen!$C$5,1)+6)=Einstellungen!$C$5,DATE(Einstellungen!$C$4,Einstellungen!$C$5,1)+6,"")</f>
        <v>46394</v>
      </c>
      <c r="J4" s="38" t="n">
        <f aca="false">IF(MONTH(DATE(Einstellungen!$C$4,Einstellungen!$C$5,1)+7)=Einstellungen!$C$5,DATE(Einstellungen!$C$4,Einstellungen!$C$5,1)+7,"")</f>
        <v>46395</v>
      </c>
      <c r="K4" s="38" t="n">
        <f aca="false">IF(MONTH(DATE(Einstellungen!$C$4,Einstellungen!$C$5,1)+8)=Einstellungen!$C$5,DATE(Einstellungen!$C$4,Einstellungen!$C$5,1)+8,"")</f>
        <v>46396</v>
      </c>
      <c r="L4" s="38" t="n">
        <f aca="false">IF(MONTH(DATE(Einstellungen!$C$4,Einstellungen!$C$5,1)+9)=Einstellungen!$C$5,DATE(Einstellungen!$C$4,Einstellungen!$C$5,1)+9,"")</f>
        <v>46397</v>
      </c>
      <c r="M4" s="38" t="n">
        <f aca="false">IF(MONTH(DATE(Einstellungen!$C$4,Einstellungen!$C$5,1)+10)=Einstellungen!$C$5,DATE(Einstellungen!$C$4,Einstellungen!$C$5,1)+10,"")</f>
        <v>46398</v>
      </c>
      <c r="N4" s="38" t="n">
        <f aca="false">IF(MONTH(DATE(Einstellungen!$C$4,Einstellungen!$C$5,1)+11)=Einstellungen!$C$5,DATE(Einstellungen!$C$4,Einstellungen!$C$5,1)+11,"")</f>
        <v>46399</v>
      </c>
      <c r="O4" s="38" t="n">
        <f aca="false">IF(MONTH(DATE(Einstellungen!$C$4,Einstellungen!$C$5,1)+12)=Einstellungen!$C$5,DATE(Einstellungen!$C$4,Einstellungen!$C$5,1)+12,"")</f>
        <v>46400</v>
      </c>
      <c r="P4" s="38" t="n">
        <f aca="false">IF(MONTH(DATE(Einstellungen!$C$4,Einstellungen!$C$5,1)+13)=Einstellungen!$C$5,DATE(Einstellungen!$C$4,Einstellungen!$C$5,1)+13,"")</f>
        <v>46401</v>
      </c>
      <c r="Q4" s="38" t="n">
        <f aca="false">IF(MONTH(DATE(Einstellungen!$C$4,Einstellungen!$C$5,1)+14)=Einstellungen!$C$5,DATE(Einstellungen!$C$4,Einstellungen!$C$5,1)+14,"")</f>
        <v>46402</v>
      </c>
      <c r="R4" s="38" t="n">
        <f aca="false">IF(MONTH(DATE(Einstellungen!$C$4,Einstellungen!$C$5,1)+15)=Einstellungen!$C$5,DATE(Einstellungen!$C$4,Einstellungen!$C$5,1)+15,"")</f>
        <v>46403</v>
      </c>
      <c r="S4" s="38" t="n">
        <f aca="false">IF(MONTH(DATE(Einstellungen!$C$4,Einstellungen!$C$5,1)+16)=Einstellungen!$C$5,DATE(Einstellungen!$C$4,Einstellungen!$C$5,1)+16,"")</f>
        <v>46404</v>
      </c>
      <c r="T4" s="38" t="n">
        <f aca="false">IF(MONTH(DATE(Einstellungen!$C$4,Einstellungen!$C$5,1)+17)=Einstellungen!$C$5,DATE(Einstellungen!$C$4,Einstellungen!$C$5,1)+17,"")</f>
        <v>46405</v>
      </c>
      <c r="U4" s="38" t="n">
        <f aca="false">IF(MONTH(DATE(Einstellungen!$C$4,Einstellungen!$C$5,1)+18)=Einstellungen!$C$5,DATE(Einstellungen!$C$4,Einstellungen!$C$5,1)+18,"")</f>
        <v>46406</v>
      </c>
      <c r="V4" s="38" t="n">
        <f aca="false">IF(MONTH(DATE(Einstellungen!$C$4,Einstellungen!$C$5,1)+19)=Einstellungen!$C$5,DATE(Einstellungen!$C$4,Einstellungen!$C$5,1)+19,"")</f>
        <v>46407</v>
      </c>
      <c r="W4" s="38" t="n">
        <f aca="false">IF(MONTH(DATE(Einstellungen!$C$4,Einstellungen!$C$5,1)+20)=Einstellungen!$C$5,DATE(Einstellungen!$C$4,Einstellungen!$C$5,1)+20,"")</f>
        <v>46408</v>
      </c>
      <c r="X4" s="38" t="n">
        <f aca="false">IF(MONTH(DATE(Einstellungen!$C$4,Einstellungen!$C$5,1)+21)=Einstellungen!$C$5,DATE(Einstellungen!$C$4,Einstellungen!$C$5,1)+21,"")</f>
        <v>46409</v>
      </c>
      <c r="Y4" s="38" t="n">
        <f aca="false">IF(MONTH(DATE(Einstellungen!$C$4,Einstellungen!$C$5,1)+22)=Einstellungen!$C$5,DATE(Einstellungen!$C$4,Einstellungen!$C$5,1)+22,"")</f>
        <v>46410</v>
      </c>
      <c r="Z4" s="38" t="n">
        <f aca="false">IF(MONTH(DATE(Einstellungen!$C$4,Einstellungen!$C$5,1)+23)=Einstellungen!$C$5,DATE(Einstellungen!$C$4,Einstellungen!$C$5,1)+23,"")</f>
        <v>46411</v>
      </c>
      <c r="AA4" s="38" t="n">
        <f aca="false">IF(MONTH(DATE(Einstellungen!$C$4,Einstellungen!$C$5,1)+24)=Einstellungen!$C$5,DATE(Einstellungen!$C$4,Einstellungen!$C$5,1)+24,"")</f>
        <v>46412</v>
      </c>
      <c r="AB4" s="38" t="n">
        <f aca="false">IF(MONTH(DATE(Einstellungen!$C$4,Einstellungen!$C$5,1)+25)=Einstellungen!$C$5,DATE(Einstellungen!$C$4,Einstellungen!$C$5,1)+25,"")</f>
        <v>46413</v>
      </c>
      <c r="AC4" s="38" t="n">
        <f aca="false">IF(MONTH(DATE(Einstellungen!$C$4,Einstellungen!$C$5,1)+26)=Einstellungen!$C$5,DATE(Einstellungen!$C$4,Einstellungen!$C$5,1)+26,"")</f>
        <v>46414</v>
      </c>
      <c r="AD4" s="38" t="n">
        <f aca="false">IF(MONTH(DATE(Einstellungen!$C$4,Einstellungen!$C$5,1)+27)=Einstellungen!$C$5,DATE(Einstellungen!$C$4,Einstellungen!$C$5,1)+27,"")</f>
        <v>46415</v>
      </c>
      <c r="AE4" s="38" t="n">
        <f aca="false">IF(MONTH(DATE(Einstellungen!$C$4,Einstellungen!$C$5,1)+28)=Einstellungen!$C$5,DATE(Einstellungen!$C$4,Einstellungen!$C$5,1)+28,"")</f>
        <v>46416</v>
      </c>
      <c r="AF4" s="38" t="n">
        <f aca="false">IF(MONTH(DATE(Einstellungen!$C$4,Einstellungen!$C$5,1)+29)=Einstellungen!$C$5,DATE(Einstellungen!$C$4,Einstellungen!$C$5,1)+29,"")</f>
        <v>46417</v>
      </c>
      <c r="AG4" s="38" t="n">
        <f aca="false">IF(MONTH(DATE(Einstellungen!$C$4,Einstellungen!$C$5,1)+30)=Einstellungen!$C$5,DATE(Einstellungen!$C$4,Einstellungen!$C$5,1)+30,"")</f>
        <v>46418</v>
      </c>
      <c r="AH4" s="24" t="s">
        <v>123</v>
      </c>
      <c r="AI4" s="24" t="s">
        <v>124</v>
      </c>
      <c r="AJ4" s="24" t="s">
        <v>125</v>
      </c>
      <c r="AK4" s="24" t="s">
        <v>126</v>
      </c>
    </row>
    <row r="5" customFormat="false" ht="15" hidden="false" customHeight="false" outlineLevel="0" collapsed="false">
      <c r="C5" s="39" t="str">
        <f aca="false">IF(C$4="","",CHOOSE(WEEKDAY(C$4,2),"Mo","Di","Mi","Do","Fr","Sa","So"))</f>
        <v>Fr</v>
      </c>
      <c r="D5" s="39" t="str">
        <f aca="false">IF(D$4="","",CHOOSE(WEEKDAY(D$4,2),"Mo","Di","Mi","Do","Fr","Sa","So"))</f>
        <v>Sa</v>
      </c>
      <c r="E5" s="39" t="str">
        <f aca="false">IF(E$4="","",CHOOSE(WEEKDAY(E$4,2),"Mo","Di","Mi","Do","Fr","Sa","So"))</f>
        <v>So</v>
      </c>
      <c r="F5" s="39" t="str">
        <f aca="false">IF(F$4="","",CHOOSE(WEEKDAY(F$4,2),"Mo","Di","Mi","Do","Fr","Sa","So"))</f>
        <v>Mo</v>
      </c>
      <c r="G5" s="39" t="str">
        <f aca="false">IF(G$4="","",CHOOSE(WEEKDAY(G$4,2),"Mo","Di","Mi","Do","Fr","Sa","So"))</f>
        <v>Di</v>
      </c>
      <c r="H5" s="39" t="str">
        <f aca="false">IF(H$4="","",CHOOSE(WEEKDAY(H$4,2),"Mo","Di","Mi","Do","Fr","Sa","So"))</f>
        <v>Mi</v>
      </c>
      <c r="I5" s="39" t="str">
        <f aca="false">IF(I$4="","",CHOOSE(WEEKDAY(I$4,2),"Mo","Di","Mi","Do","Fr","Sa","So"))</f>
        <v>Do</v>
      </c>
      <c r="J5" s="39" t="str">
        <f aca="false">IF(J$4="","",CHOOSE(WEEKDAY(J$4,2),"Mo","Di","Mi","Do","Fr","Sa","So"))</f>
        <v>Fr</v>
      </c>
      <c r="K5" s="39" t="str">
        <f aca="false">IF(K$4="","",CHOOSE(WEEKDAY(K$4,2),"Mo","Di","Mi","Do","Fr","Sa","So"))</f>
        <v>Sa</v>
      </c>
      <c r="L5" s="39" t="str">
        <f aca="false">IF(L$4="","",CHOOSE(WEEKDAY(L$4,2),"Mo","Di","Mi","Do","Fr","Sa","So"))</f>
        <v>So</v>
      </c>
      <c r="M5" s="39" t="str">
        <f aca="false">IF(M$4="","",CHOOSE(WEEKDAY(M$4,2),"Mo","Di","Mi","Do","Fr","Sa","So"))</f>
        <v>Mo</v>
      </c>
      <c r="N5" s="39" t="str">
        <f aca="false">IF(N$4="","",CHOOSE(WEEKDAY(N$4,2),"Mo","Di","Mi","Do","Fr","Sa","So"))</f>
        <v>Di</v>
      </c>
      <c r="O5" s="39" t="str">
        <f aca="false">IF(O$4="","",CHOOSE(WEEKDAY(O$4,2),"Mo","Di","Mi","Do","Fr","Sa","So"))</f>
        <v>Mi</v>
      </c>
      <c r="P5" s="39" t="str">
        <f aca="false">IF(P$4="","",CHOOSE(WEEKDAY(P$4,2),"Mo","Di","Mi","Do","Fr","Sa","So"))</f>
        <v>Do</v>
      </c>
      <c r="Q5" s="39" t="str">
        <f aca="false">IF(Q$4="","",CHOOSE(WEEKDAY(Q$4,2),"Mo","Di","Mi","Do","Fr","Sa","So"))</f>
        <v>Fr</v>
      </c>
      <c r="R5" s="39" t="str">
        <f aca="false">IF(R$4="","",CHOOSE(WEEKDAY(R$4,2),"Mo","Di","Mi","Do","Fr","Sa","So"))</f>
        <v>Sa</v>
      </c>
      <c r="S5" s="39" t="str">
        <f aca="false">IF(S$4="","",CHOOSE(WEEKDAY(S$4,2),"Mo","Di","Mi","Do","Fr","Sa","So"))</f>
        <v>So</v>
      </c>
      <c r="T5" s="39" t="str">
        <f aca="false">IF(T$4="","",CHOOSE(WEEKDAY(T$4,2),"Mo","Di","Mi","Do","Fr","Sa","So"))</f>
        <v>Mo</v>
      </c>
      <c r="U5" s="39" t="str">
        <f aca="false">IF(U$4="","",CHOOSE(WEEKDAY(U$4,2),"Mo","Di","Mi","Do","Fr","Sa","So"))</f>
        <v>Di</v>
      </c>
      <c r="V5" s="39" t="str">
        <f aca="false">IF(V$4="","",CHOOSE(WEEKDAY(V$4,2),"Mo","Di","Mi","Do","Fr","Sa","So"))</f>
        <v>Mi</v>
      </c>
      <c r="W5" s="39" t="str">
        <f aca="false">IF(W$4="","",CHOOSE(WEEKDAY(W$4,2),"Mo","Di","Mi","Do","Fr","Sa","So"))</f>
        <v>Do</v>
      </c>
      <c r="X5" s="39" t="str">
        <f aca="false">IF(X$4="","",CHOOSE(WEEKDAY(X$4,2),"Mo","Di","Mi","Do","Fr","Sa","So"))</f>
        <v>Fr</v>
      </c>
      <c r="Y5" s="39" t="str">
        <f aca="false">IF(Y$4="","",CHOOSE(WEEKDAY(Y$4,2),"Mo","Di","Mi","Do","Fr","Sa","So"))</f>
        <v>Sa</v>
      </c>
      <c r="Z5" s="39" t="str">
        <f aca="false">IF(Z$4="","",CHOOSE(WEEKDAY(Z$4,2),"Mo","Di","Mi","Do","Fr","Sa","So"))</f>
        <v>So</v>
      </c>
      <c r="AA5" s="39" t="str">
        <f aca="false">IF(AA$4="","",CHOOSE(WEEKDAY(AA$4,2),"Mo","Di","Mi","Do","Fr","Sa","So"))</f>
        <v>Mo</v>
      </c>
      <c r="AB5" s="39" t="str">
        <f aca="false">IF(AB$4="","",CHOOSE(WEEKDAY(AB$4,2),"Mo","Di","Mi","Do","Fr","Sa","So"))</f>
        <v>Di</v>
      </c>
      <c r="AC5" s="39" t="str">
        <f aca="false">IF(AC$4="","",CHOOSE(WEEKDAY(AC$4,2),"Mo","Di","Mi","Do","Fr","Sa","So"))</f>
        <v>Mi</v>
      </c>
      <c r="AD5" s="39" t="str">
        <f aca="false">IF(AD$4="","",CHOOSE(WEEKDAY(AD$4,2),"Mo","Di","Mi","Do","Fr","Sa","So"))</f>
        <v>Do</v>
      </c>
      <c r="AE5" s="39" t="str">
        <f aca="false">IF(AE$4="","",CHOOSE(WEEKDAY(AE$4,2),"Mo","Di","Mi","Do","Fr","Sa","So"))</f>
        <v>Fr</v>
      </c>
      <c r="AF5" s="39" t="str">
        <f aca="false">IF(AF$4="","",CHOOSE(WEEKDAY(AF$4,2),"Mo","Di","Mi","Do","Fr","Sa","So"))</f>
        <v>Sa</v>
      </c>
      <c r="AG5" s="39" t="str">
        <f aca="false">IF(AG$4="","",CHOOSE(WEEKDAY(AG$4,2),"Mo","Di","Mi","Do","Fr","Sa","So"))</f>
        <v>So</v>
      </c>
    </row>
    <row r="6" customFormat="false" ht="15" hidden="false" customHeight="false" outlineLevel="0" collapsed="false">
      <c r="A6" s="40" t="s">
        <v>127</v>
      </c>
      <c r="B6" s="15" t="s">
        <v>36</v>
      </c>
      <c r="C6" s="41" t="str">
        <f aca="false">IF(OR(C$4="",$B6=""),"",INDEX(Jahr!$D$5:$BA$370,C$4-DATE(Einstellungen!$C$4,1,1)+1,(MATCH($B6,Einstellungen!$B$13:$B$17,0)-1)*10+1))</f>
        <v>N</v>
      </c>
      <c r="D6" s="41" t="str">
        <f aca="false">IF(OR(D$4="",$B6=""),"",INDEX(Jahr!$D$5:$BA$370,D$4-DATE(Einstellungen!$C$4,1,1)+1,(MATCH($B6,Einstellungen!$B$13:$B$17,0)-1)*10+1))</f>
        <v>-</v>
      </c>
      <c r="E6" s="41" t="str">
        <f aca="false">IF(OR(E$4="",$B6=""),"",INDEX(Jahr!$D$5:$BA$370,E$4-DATE(Einstellungen!$C$4,1,1)+1,(MATCH($B6,Einstellungen!$B$13:$B$17,0)-1)*10+1))</f>
        <v>-</v>
      </c>
      <c r="F6" s="41" t="str">
        <f aca="false">IF(OR(F$4="",$B6=""),"",INDEX(Jahr!$D$5:$BA$370,F$4-DATE(Einstellungen!$C$4,1,1)+1,(MATCH($B6,Einstellungen!$B$13:$B$17,0)-1)*10+1))</f>
        <v>F</v>
      </c>
      <c r="G6" s="41" t="str">
        <f aca="false">IF(OR(G$4="",$B6=""),"",INDEX(Jahr!$D$5:$BA$370,G$4-DATE(Einstellungen!$C$4,1,1)+1,(MATCH($B6,Einstellungen!$B$13:$B$17,0)-1)*10+1))</f>
        <v>F</v>
      </c>
      <c r="H6" s="41" t="str">
        <f aca="false">IF(OR(H$4="",$B6=""),"",INDEX(Jahr!$D$5:$BA$370,H$4-DATE(Einstellungen!$C$4,1,1)+1,(MATCH($B6,Einstellungen!$B$13:$B$17,0)-1)*10+1))</f>
        <v>S</v>
      </c>
      <c r="I6" s="41" t="str">
        <f aca="false">IF(OR(I$4="",$B6=""),"",INDEX(Jahr!$D$5:$BA$370,I$4-DATE(Einstellungen!$C$4,1,1)+1,(MATCH($B6,Einstellungen!$B$13:$B$17,0)-1)*10+1))</f>
        <v>S</v>
      </c>
      <c r="J6" s="41" t="str">
        <f aca="false">IF(OR(J$4="",$B6=""),"",INDEX(Jahr!$D$5:$BA$370,J$4-DATE(Einstellungen!$C$4,1,1)+1,(MATCH($B6,Einstellungen!$B$13:$B$17,0)-1)*10+1))</f>
        <v>N</v>
      </c>
      <c r="K6" s="41" t="str">
        <f aca="false">IF(OR(K$4="",$B6=""),"",INDEX(Jahr!$D$5:$BA$370,K$4-DATE(Einstellungen!$C$4,1,1)+1,(MATCH($B6,Einstellungen!$B$13:$B$17,0)-1)*10+1))</f>
        <v>N</v>
      </c>
      <c r="L6" s="41" t="str">
        <f aca="false">IF(OR(L$4="",$B6=""),"",INDEX(Jahr!$D$5:$BA$370,L$4-DATE(Einstellungen!$C$4,1,1)+1,(MATCH($B6,Einstellungen!$B$13:$B$17,0)-1)*10+1))</f>
        <v>-</v>
      </c>
      <c r="M6" s="41" t="str">
        <f aca="false">IF(OR(M$4="",$B6=""),"",INDEX(Jahr!$D$5:$BA$370,M$4-DATE(Einstellungen!$C$4,1,1)+1,(MATCH($B6,Einstellungen!$B$13:$B$17,0)-1)*10+1))</f>
        <v>-</v>
      </c>
      <c r="N6" s="41" t="str">
        <f aca="false">IF(OR(N$4="",$B6=""),"",INDEX(Jahr!$D$5:$BA$370,N$4-DATE(Einstellungen!$C$4,1,1)+1,(MATCH($B6,Einstellungen!$B$13:$B$17,0)-1)*10+1))</f>
        <v>F</v>
      </c>
      <c r="O6" s="41" t="str">
        <f aca="false">IF(OR(O$4="",$B6=""),"",INDEX(Jahr!$D$5:$BA$370,O$4-DATE(Einstellungen!$C$4,1,1)+1,(MATCH($B6,Einstellungen!$B$13:$B$17,0)-1)*10+1))</f>
        <v>F</v>
      </c>
      <c r="P6" s="41" t="str">
        <f aca="false">IF(OR(P$4="",$B6=""),"",INDEX(Jahr!$D$5:$BA$370,P$4-DATE(Einstellungen!$C$4,1,1)+1,(MATCH($B6,Einstellungen!$B$13:$B$17,0)-1)*10+1))</f>
        <v>S</v>
      </c>
      <c r="Q6" s="41" t="str">
        <f aca="false">IF(OR(Q$4="",$B6=""),"",INDEX(Jahr!$D$5:$BA$370,Q$4-DATE(Einstellungen!$C$4,1,1)+1,(MATCH($B6,Einstellungen!$B$13:$B$17,0)-1)*10+1))</f>
        <v>S</v>
      </c>
      <c r="R6" s="41" t="str">
        <f aca="false">IF(OR(R$4="",$B6=""),"",INDEX(Jahr!$D$5:$BA$370,R$4-DATE(Einstellungen!$C$4,1,1)+1,(MATCH($B6,Einstellungen!$B$13:$B$17,0)-1)*10+1))</f>
        <v>N</v>
      </c>
      <c r="S6" s="41" t="str">
        <f aca="false">IF(OR(S$4="",$B6=""),"",INDEX(Jahr!$D$5:$BA$370,S$4-DATE(Einstellungen!$C$4,1,1)+1,(MATCH($B6,Einstellungen!$B$13:$B$17,0)-1)*10+1))</f>
        <v>N</v>
      </c>
      <c r="T6" s="41" t="str">
        <f aca="false">IF(OR(T$4="",$B6=""),"",INDEX(Jahr!$D$5:$BA$370,T$4-DATE(Einstellungen!$C$4,1,1)+1,(MATCH($B6,Einstellungen!$B$13:$B$17,0)-1)*10+1))</f>
        <v>-</v>
      </c>
      <c r="U6" s="41" t="str">
        <f aca="false">IF(OR(U$4="",$B6=""),"",INDEX(Jahr!$D$5:$BA$370,U$4-DATE(Einstellungen!$C$4,1,1)+1,(MATCH($B6,Einstellungen!$B$13:$B$17,0)-1)*10+1))</f>
        <v>-</v>
      </c>
      <c r="V6" s="41" t="str">
        <f aca="false">IF(OR(V$4="",$B6=""),"",INDEX(Jahr!$D$5:$BA$370,V$4-DATE(Einstellungen!$C$4,1,1)+1,(MATCH($B6,Einstellungen!$B$13:$B$17,0)-1)*10+1))</f>
        <v>F</v>
      </c>
      <c r="W6" s="41" t="str">
        <f aca="false">IF(OR(W$4="",$B6=""),"",INDEX(Jahr!$D$5:$BA$370,W$4-DATE(Einstellungen!$C$4,1,1)+1,(MATCH($B6,Einstellungen!$B$13:$B$17,0)-1)*10+1))</f>
        <v>F</v>
      </c>
      <c r="X6" s="41" t="str">
        <f aca="false">IF(OR(X$4="",$B6=""),"",INDEX(Jahr!$D$5:$BA$370,X$4-DATE(Einstellungen!$C$4,1,1)+1,(MATCH($B6,Einstellungen!$B$13:$B$17,0)-1)*10+1))</f>
        <v>S</v>
      </c>
      <c r="Y6" s="41" t="str">
        <f aca="false">IF(OR(Y$4="",$B6=""),"",INDEX(Jahr!$D$5:$BA$370,Y$4-DATE(Einstellungen!$C$4,1,1)+1,(MATCH($B6,Einstellungen!$B$13:$B$17,0)-1)*10+1))</f>
        <v>S</v>
      </c>
      <c r="Z6" s="41" t="str">
        <f aca="false">IF(OR(Z$4="",$B6=""),"",INDEX(Jahr!$D$5:$BA$370,Z$4-DATE(Einstellungen!$C$4,1,1)+1,(MATCH($B6,Einstellungen!$B$13:$B$17,0)-1)*10+1))</f>
        <v>N</v>
      </c>
      <c r="AA6" s="41" t="str">
        <f aca="false">IF(OR(AA$4="",$B6=""),"",INDEX(Jahr!$D$5:$BA$370,AA$4-DATE(Einstellungen!$C$4,1,1)+1,(MATCH($B6,Einstellungen!$B$13:$B$17,0)-1)*10+1))</f>
        <v>N</v>
      </c>
      <c r="AB6" s="41" t="str">
        <f aca="false">IF(OR(AB$4="",$B6=""),"",INDEX(Jahr!$D$5:$BA$370,AB$4-DATE(Einstellungen!$C$4,1,1)+1,(MATCH($B6,Einstellungen!$B$13:$B$17,0)-1)*10+1))</f>
        <v>-</v>
      </c>
      <c r="AC6" s="41" t="str">
        <f aca="false">IF(OR(AC$4="",$B6=""),"",INDEX(Jahr!$D$5:$BA$370,AC$4-DATE(Einstellungen!$C$4,1,1)+1,(MATCH($B6,Einstellungen!$B$13:$B$17,0)-1)*10+1))</f>
        <v>-</v>
      </c>
      <c r="AD6" s="41" t="str">
        <f aca="false">IF(OR(AD$4="",$B6=""),"",INDEX(Jahr!$D$5:$BA$370,AD$4-DATE(Einstellungen!$C$4,1,1)+1,(MATCH($B6,Einstellungen!$B$13:$B$17,0)-1)*10+1))</f>
        <v>F</v>
      </c>
      <c r="AE6" s="41" t="str">
        <f aca="false">IF(OR(AE$4="",$B6=""),"",INDEX(Jahr!$D$5:$BA$370,AE$4-DATE(Einstellungen!$C$4,1,1)+1,(MATCH($B6,Einstellungen!$B$13:$B$17,0)-1)*10+1))</f>
        <v>F</v>
      </c>
      <c r="AF6" s="41" t="str">
        <f aca="false">IF(OR(AF$4="",$B6=""),"",INDEX(Jahr!$D$5:$BA$370,AF$4-DATE(Einstellungen!$C$4,1,1)+1,(MATCH($B6,Einstellungen!$B$13:$B$17,0)-1)*10+1))</f>
        <v>S</v>
      </c>
      <c r="AG6" s="41" t="str">
        <f aca="false">IF(OR(AG$4="",$B6=""),"",INDEX(Jahr!$D$5:$BA$370,AG$4-DATE(Einstellungen!$C$4,1,1)+1,(MATCH($B6,Einstellungen!$B$13:$B$17,0)-1)*10+1))</f>
        <v>S</v>
      </c>
      <c r="AH6" s="42" t="n">
        <f aca="false">IF($B6="","",SUMPRODUCT(--(SUMIF(Schichten!$A$5:$A$24,$C6:$AG6,Schichten!$F$5:$F$24)&gt;0)))</f>
        <v>23</v>
      </c>
      <c r="AI6" s="43" t="n">
        <f aca="false">IF($B6="","",SUMPRODUCT(SUMIF(Schichten!$A$5:$A$24,$C6:$AG6,Schichten!$F$5:$F$24)))</f>
        <v>184</v>
      </c>
      <c r="AJ6" s="42" t="n">
        <f aca="false">IF($B6="","",SUMPRODUCT(--(SUMIF(Schichten!$A$5:$A$24,$C6:$AG6,Schichten!$G$5:$G$24)&gt;0)))</f>
        <v>7</v>
      </c>
      <c r="AK6" s="44" t="n">
        <f aca="false">IF($B6="","",SUMPRODUCT(SUMIF(Schichten!$A$5:$A$24,$C6:$AG6,Schichten!$G$5:$G$24)))</f>
        <v>49</v>
      </c>
    </row>
    <row r="7" customFormat="false" ht="15" hidden="false" customHeight="false" outlineLevel="0" collapsed="false">
      <c r="A7" s="40" t="s">
        <v>128</v>
      </c>
      <c r="B7" s="15" t="s">
        <v>36</v>
      </c>
      <c r="C7" s="41" t="str">
        <f aca="false">IF(OR(C$4="",$B7=""),"",INDEX(Jahr!$D$5:$BA$370,C$4-DATE(Einstellungen!$C$4,1,1)+1,(MATCH($B7,Einstellungen!$B$13:$B$17,0)-1)*10+1))</f>
        <v>N</v>
      </c>
      <c r="D7" s="41" t="str">
        <f aca="false">IF(OR(D$4="",$B7=""),"",INDEX(Jahr!$D$5:$BA$370,D$4-DATE(Einstellungen!$C$4,1,1)+1,(MATCH($B7,Einstellungen!$B$13:$B$17,0)-1)*10+1))</f>
        <v>-</v>
      </c>
      <c r="E7" s="41" t="str">
        <f aca="false">IF(OR(E$4="",$B7=""),"",INDEX(Jahr!$D$5:$BA$370,E$4-DATE(Einstellungen!$C$4,1,1)+1,(MATCH($B7,Einstellungen!$B$13:$B$17,0)-1)*10+1))</f>
        <v>-</v>
      </c>
      <c r="F7" s="41" t="str">
        <f aca="false">IF(OR(F$4="",$B7=""),"",INDEX(Jahr!$D$5:$BA$370,F$4-DATE(Einstellungen!$C$4,1,1)+1,(MATCH($B7,Einstellungen!$B$13:$B$17,0)-1)*10+1))</f>
        <v>F</v>
      </c>
      <c r="G7" s="41" t="str">
        <f aca="false">IF(OR(G$4="",$B7=""),"",INDEX(Jahr!$D$5:$BA$370,G$4-DATE(Einstellungen!$C$4,1,1)+1,(MATCH($B7,Einstellungen!$B$13:$B$17,0)-1)*10+1))</f>
        <v>F</v>
      </c>
      <c r="H7" s="41" t="str">
        <f aca="false">IF(OR(H$4="",$B7=""),"",INDEX(Jahr!$D$5:$BA$370,H$4-DATE(Einstellungen!$C$4,1,1)+1,(MATCH($B7,Einstellungen!$B$13:$B$17,0)-1)*10+1))</f>
        <v>S</v>
      </c>
      <c r="I7" s="41" t="str">
        <f aca="false">IF(OR(I$4="",$B7=""),"",INDEX(Jahr!$D$5:$BA$370,I$4-DATE(Einstellungen!$C$4,1,1)+1,(MATCH($B7,Einstellungen!$B$13:$B$17,0)-1)*10+1))</f>
        <v>S</v>
      </c>
      <c r="J7" s="41" t="str">
        <f aca="false">IF(OR(J$4="",$B7=""),"",INDEX(Jahr!$D$5:$BA$370,J$4-DATE(Einstellungen!$C$4,1,1)+1,(MATCH($B7,Einstellungen!$B$13:$B$17,0)-1)*10+1))</f>
        <v>N</v>
      </c>
      <c r="K7" s="41" t="str">
        <f aca="false">IF(OR(K$4="",$B7=""),"",INDEX(Jahr!$D$5:$BA$370,K$4-DATE(Einstellungen!$C$4,1,1)+1,(MATCH($B7,Einstellungen!$B$13:$B$17,0)-1)*10+1))</f>
        <v>N</v>
      </c>
      <c r="L7" s="41" t="str">
        <f aca="false">IF(OR(L$4="",$B7=""),"",INDEX(Jahr!$D$5:$BA$370,L$4-DATE(Einstellungen!$C$4,1,1)+1,(MATCH($B7,Einstellungen!$B$13:$B$17,0)-1)*10+1))</f>
        <v>-</v>
      </c>
      <c r="M7" s="41" t="str">
        <f aca="false">IF(OR(M$4="",$B7=""),"",INDEX(Jahr!$D$5:$BA$370,M$4-DATE(Einstellungen!$C$4,1,1)+1,(MATCH($B7,Einstellungen!$B$13:$B$17,0)-1)*10+1))</f>
        <v>-</v>
      </c>
      <c r="N7" s="41" t="str">
        <f aca="false">IF(OR(N$4="",$B7=""),"",INDEX(Jahr!$D$5:$BA$370,N$4-DATE(Einstellungen!$C$4,1,1)+1,(MATCH($B7,Einstellungen!$B$13:$B$17,0)-1)*10+1))</f>
        <v>F</v>
      </c>
      <c r="O7" s="41" t="str">
        <f aca="false">IF(OR(O$4="",$B7=""),"",INDEX(Jahr!$D$5:$BA$370,O$4-DATE(Einstellungen!$C$4,1,1)+1,(MATCH($B7,Einstellungen!$B$13:$B$17,0)-1)*10+1))</f>
        <v>F</v>
      </c>
      <c r="P7" s="41" t="str">
        <f aca="false">IF(OR(P$4="",$B7=""),"",INDEX(Jahr!$D$5:$BA$370,P$4-DATE(Einstellungen!$C$4,1,1)+1,(MATCH($B7,Einstellungen!$B$13:$B$17,0)-1)*10+1))</f>
        <v>S</v>
      </c>
      <c r="Q7" s="41" t="str">
        <f aca="false">IF(OR(Q$4="",$B7=""),"",INDEX(Jahr!$D$5:$BA$370,Q$4-DATE(Einstellungen!$C$4,1,1)+1,(MATCH($B7,Einstellungen!$B$13:$B$17,0)-1)*10+1))</f>
        <v>S</v>
      </c>
      <c r="R7" s="41" t="str">
        <f aca="false">IF(OR(R$4="",$B7=""),"",INDEX(Jahr!$D$5:$BA$370,R$4-DATE(Einstellungen!$C$4,1,1)+1,(MATCH($B7,Einstellungen!$B$13:$B$17,0)-1)*10+1))</f>
        <v>N</v>
      </c>
      <c r="S7" s="41" t="str">
        <f aca="false">IF(OR(S$4="",$B7=""),"",INDEX(Jahr!$D$5:$BA$370,S$4-DATE(Einstellungen!$C$4,1,1)+1,(MATCH($B7,Einstellungen!$B$13:$B$17,0)-1)*10+1))</f>
        <v>N</v>
      </c>
      <c r="T7" s="41" t="str">
        <f aca="false">IF(OR(T$4="",$B7=""),"",INDEX(Jahr!$D$5:$BA$370,T$4-DATE(Einstellungen!$C$4,1,1)+1,(MATCH($B7,Einstellungen!$B$13:$B$17,0)-1)*10+1))</f>
        <v>-</v>
      </c>
      <c r="U7" s="41" t="str">
        <f aca="false">IF(OR(U$4="",$B7=""),"",INDEX(Jahr!$D$5:$BA$370,U$4-DATE(Einstellungen!$C$4,1,1)+1,(MATCH($B7,Einstellungen!$B$13:$B$17,0)-1)*10+1))</f>
        <v>-</v>
      </c>
      <c r="V7" s="41" t="str">
        <f aca="false">IF(OR(V$4="",$B7=""),"",INDEX(Jahr!$D$5:$BA$370,V$4-DATE(Einstellungen!$C$4,1,1)+1,(MATCH($B7,Einstellungen!$B$13:$B$17,0)-1)*10+1))</f>
        <v>F</v>
      </c>
      <c r="W7" s="41" t="str">
        <f aca="false">IF(OR(W$4="",$B7=""),"",INDEX(Jahr!$D$5:$BA$370,W$4-DATE(Einstellungen!$C$4,1,1)+1,(MATCH($B7,Einstellungen!$B$13:$B$17,0)-1)*10+1))</f>
        <v>F</v>
      </c>
      <c r="X7" s="41" t="str">
        <f aca="false">IF(OR(X$4="",$B7=""),"",INDEX(Jahr!$D$5:$BA$370,X$4-DATE(Einstellungen!$C$4,1,1)+1,(MATCH($B7,Einstellungen!$B$13:$B$17,0)-1)*10+1))</f>
        <v>S</v>
      </c>
      <c r="Y7" s="41" t="str">
        <f aca="false">IF(OR(Y$4="",$B7=""),"",INDEX(Jahr!$D$5:$BA$370,Y$4-DATE(Einstellungen!$C$4,1,1)+1,(MATCH($B7,Einstellungen!$B$13:$B$17,0)-1)*10+1))</f>
        <v>S</v>
      </c>
      <c r="Z7" s="41" t="str">
        <f aca="false">IF(OR(Z$4="",$B7=""),"",INDEX(Jahr!$D$5:$BA$370,Z$4-DATE(Einstellungen!$C$4,1,1)+1,(MATCH($B7,Einstellungen!$B$13:$B$17,0)-1)*10+1))</f>
        <v>N</v>
      </c>
      <c r="AA7" s="41" t="str">
        <f aca="false">IF(OR(AA$4="",$B7=""),"",INDEX(Jahr!$D$5:$BA$370,AA$4-DATE(Einstellungen!$C$4,1,1)+1,(MATCH($B7,Einstellungen!$B$13:$B$17,0)-1)*10+1))</f>
        <v>N</v>
      </c>
      <c r="AB7" s="41" t="str">
        <f aca="false">IF(OR(AB$4="",$B7=""),"",INDEX(Jahr!$D$5:$BA$370,AB$4-DATE(Einstellungen!$C$4,1,1)+1,(MATCH($B7,Einstellungen!$B$13:$B$17,0)-1)*10+1))</f>
        <v>-</v>
      </c>
      <c r="AC7" s="41" t="str">
        <f aca="false">IF(OR(AC$4="",$B7=""),"",INDEX(Jahr!$D$5:$BA$370,AC$4-DATE(Einstellungen!$C$4,1,1)+1,(MATCH($B7,Einstellungen!$B$13:$B$17,0)-1)*10+1))</f>
        <v>-</v>
      </c>
      <c r="AD7" s="41" t="str">
        <f aca="false">IF(OR(AD$4="",$B7=""),"",INDEX(Jahr!$D$5:$BA$370,AD$4-DATE(Einstellungen!$C$4,1,1)+1,(MATCH($B7,Einstellungen!$B$13:$B$17,0)-1)*10+1))</f>
        <v>F</v>
      </c>
      <c r="AE7" s="41" t="str">
        <f aca="false">IF(OR(AE$4="",$B7=""),"",INDEX(Jahr!$D$5:$BA$370,AE$4-DATE(Einstellungen!$C$4,1,1)+1,(MATCH($B7,Einstellungen!$B$13:$B$17,0)-1)*10+1))</f>
        <v>F</v>
      </c>
      <c r="AF7" s="41" t="str">
        <f aca="false">IF(OR(AF$4="",$B7=""),"",INDEX(Jahr!$D$5:$BA$370,AF$4-DATE(Einstellungen!$C$4,1,1)+1,(MATCH($B7,Einstellungen!$B$13:$B$17,0)-1)*10+1))</f>
        <v>S</v>
      </c>
      <c r="AG7" s="41" t="str">
        <f aca="false">IF(OR(AG$4="",$B7=""),"",INDEX(Jahr!$D$5:$BA$370,AG$4-DATE(Einstellungen!$C$4,1,1)+1,(MATCH($B7,Einstellungen!$B$13:$B$17,0)-1)*10+1))</f>
        <v>S</v>
      </c>
      <c r="AH7" s="42" t="n">
        <f aca="false">IF($B7="","",SUMPRODUCT(--(SUMIF(Schichten!$A$5:$A$24,$C7:$AG7,Schichten!$F$5:$F$24)&gt;0)))</f>
        <v>23</v>
      </c>
      <c r="AI7" s="43" t="n">
        <f aca="false">IF($B7="","",SUMPRODUCT(SUMIF(Schichten!$A$5:$A$24,$C7:$AG7,Schichten!$F$5:$F$24)))</f>
        <v>184</v>
      </c>
      <c r="AJ7" s="42" t="n">
        <f aca="false">IF($B7="","",SUMPRODUCT(--(SUMIF(Schichten!$A$5:$A$24,$C7:$AG7,Schichten!$G$5:$G$24)&gt;0)))</f>
        <v>7</v>
      </c>
      <c r="AK7" s="44" t="n">
        <f aca="false">IF($B7="","",SUMPRODUCT(SUMIF(Schichten!$A$5:$A$24,$C7:$AG7,Schichten!$G$5:$G$24)))</f>
        <v>49</v>
      </c>
    </row>
    <row r="8" customFormat="false" ht="15" hidden="false" customHeight="false" outlineLevel="0" collapsed="false">
      <c r="A8" s="40" t="s">
        <v>129</v>
      </c>
      <c r="B8" s="15" t="s">
        <v>38</v>
      </c>
      <c r="C8" s="41" t="str">
        <f aca="false">IF(OR(C$4="",$B8=""),"",INDEX(Jahr!$D$5:$BA$370,C$4-DATE(Einstellungen!$C$4,1,1)+1,(MATCH($B8,Einstellungen!$B$13:$B$17,0)-1)*10+1))</f>
        <v>S</v>
      </c>
      <c r="D8" s="41" t="str">
        <f aca="false">IF(OR(D$4="",$B8=""),"",INDEX(Jahr!$D$5:$BA$370,D$4-DATE(Einstellungen!$C$4,1,1)+1,(MATCH($B8,Einstellungen!$B$13:$B$17,0)-1)*10+1))</f>
        <v>N</v>
      </c>
      <c r="E8" s="41" t="str">
        <f aca="false">IF(OR(E$4="",$B8=""),"",INDEX(Jahr!$D$5:$BA$370,E$4-DATE(Einstellungen!$C$4,1,1)+1,(MATCH($B8,Einstellungen!$B$13:$B$17,0)-1)*10+1))</f>
        <v>N</v>
      </c>
      <c r="F8" s="41" t="str">
        <f aca="false">IF(OR(F$4="",$B8=""),"",INDEX(Jahr!$D$5:$BA$370,F$4-DATE(Einstellungen!$C$4,1,1)+1,(MATCH($B8,Einstellungen!$B$13:$B$17,0)-1)*10+1))</f>
        <v>-</v>
      </c>
      <c r="G8" s="41" t="str">
        <f aca="false">IF(OR(G$4="",$B8=""),"",INDEX(Jahr!$D$5:$BA$370,G$4-DATE(Einstellungen!$C$4,1,1)+1,(MATCH($B8,Einstellungen!$B$13:$B$17,0)-1)*10+1))</f>
        <v>-</v>
      </c>
      <c r="H8" s="41" t="str">
        <f aca="false">IF(OR(H$4="",$B8=""),"",INDEX(Jahr!$D$5:$BA$370,H$4-DATE(Einstellungen!$C$4,1,1)+1,(MATCH($B8,Einstellungen!$B$13:$B$17,0)-1)*10+1))</f>
        <v>F</v>
      </c>
      <c r="I8" s="41" t="str">
        <f aca="false">IF(OR(I$4="",$B8=""),"",INDEX(Jahr!$D$5:$BA$370,I$4-DATE(Einstellungen!$C$4,1,1)+1,(MATCH($B8,Einstellungen!$B$13:$B$17,0)-1)*10+1))</f>
        <v>F</v>
      </c>
      <c r="J8" s="41" t="str">
        <f aca="false">IF(OR(J$4="",$B8=""),"",INDEX(Jahr!$D$5:$BA$370,J$4-DATE(Einstellungen!$C$4,1,1)+1,(MATCH($B8,Einstellungen!$B$13:$B$17,0)-1)*10+1))</f>
        <v>S</v>
      </c>
      <c r="K8" s="41" t="str">
        <f aca="false">IF(OR(K$4="",$B8=""),"",INDEX(Jahr!$D$5:$BA$370,K$4-DATE(Einstellungen!$C$4,1,1)+1,(MATCH($B8,Einstellungen!$B$13:$B$17,0)-1)*10+1))</f>
        <v>S</v>
      </c>
      <c r="L8" s="41" t="str">
        <f aca="false">IF(OR(L$4="",$B8=""),"",INDEX(Jahr!$D$5:$BA$370,L$4-DATE(Einstellungen!$C$4,1,1)+1,(MATCH($B8,Einstellungen!$B$13:$B$17,0)-1)*10+1))</f>
        <v>N</v>
      </c>
      <c r="M8" s="41" t="str">
        <f aca="false">IF(OR(M$4="",$B8=""),"",INDEX(Jahr!$D$5:$BA$370,M$4-DATE(Einstellungen!$C$4,1,1)+1,(MATCH($B8,Einstellungen!$B$13:$B$17,0)-1)*10+1))</f>
        <v>N</v>
      </c>
      <c r="N8" s="41" t="str">
        <f aca="false">IF(OR(N$4="",$B8=""),"",INDEX(Jahr!$D$5:$BA$370,N$4-DATE(Einstellungen!$C$4,1,1)+1,(MATCH($B8,Einstellungen!$B$13:$B$17,0)-1)*10+1))</f>
        <v>-</v>
      </c>
      <c r="O8" s="41" t="str">
        <f aca="false">IF(OR(O$4="",$B8=""),"",INDEX(Jahr!$D$5:$BA$370,O$4-DATE(Einstellungen!$C$4,1,1)+1,(MATCH($B8,Einstellungen!$B$13:$B$17,0)-1)*10+1))</f>
        <v>-</v>
      </c>
      <c r="P8" s="41" t="str">
        <f aca="false">IF(OR(P$4="",$B8=""),"",INDEX(Jahr!$D$5:$BA$370,P$4-DATE(Einstellungen!$C$4,1,1)+1,(MATCH($B8,Einstellungen!$B$13:$B$17,0)-1)*10+1))</f>
        <v>F</v>
      </c>
      <c r="Q8" s="41" t="str">
        <f aca="false">IF(OR(Q$4="",$B8=""),"",INDEX(Jahr!$D$5:$BA$370,Q$4-DATE(Einstellungen!$C$4,1,1)+1,(MATCH($B8,Einstellungen!$B$13:$B$17,0)-1)*10+1))</f>
        <v>F</v>
      </c>
      <c r="R8" s="41" t="str">
        <f aca="false">IF(OR(R$4="",$B8=""),"",INDEX(Jahr!$D$5:$BA$370,R$4-DATE(Einstellungen!$C$4,1,1)+1,(MATCH($B8,Einstellungen!$B$13:$B$17,0)-1)*10+1))</f>
        <v>S</v>
      </c>
      <c r="S8" s="41" t="str">
        <f aca="false">IF(OR(S$4="",$B8=""),"",INDEX(Jahr!$D$5:$BA$370,S$4-DATE(Einstellungen!$C$4,1,1)+1,(MATCH($B8,Einstellungen!$B$13:$B$17,0)-1)*10+1))</f>
        <v>S</v>
      </c>
      <c r="T8" s="41" t="str">
        <f aca="false">IF(OR(T$4="",$B8=""),"",INDEX(Jahr!$D$5:$BA$370,T$4-DATE(Einstellungen!$C$4,1,1)+1,(MATCH($B8,Einstellungen!$B$13:$B$17,0)-1)*10+1))</f>
        <v>N</v>
      </c>
      <c r="U8" s="41" t="str">
        <f aca="false">IF(OR(U$4="",$B8=""),"",INDEX(Jahr!$D$5:$BA$370,U$4-DATE(Einstellungen!$C$4,1,1)+1,(MATCH($B8,Einstellungen!$B$13:$B$17,0)-1)*10+1))</f>
        <v>N</v>
      </c>
      <c r="V8" s="41" t="str">
        <f aca="false">IF(OR(V$4="",$B8=""),"",INDEX(Jahr!$D$5:$BA$370,V$4-DATE(Einstellungen!$C$4,1,1)+1,(MATCH($B8,Einstellungen!$B$13:$B$17,0)-1)*10+1))</f>
        <v>-</v>
      </c>
      <c r="W8" s="41" t="str">
        <f aca="false">IF(OR(W$4="",$B8=""),"",INDEX(Jahr!$D$5:$BA$370,W$4-DATE(Einstellungen!$C$4,1,1)+1,(MATCH($B8,Einstellungen!$B$13:$B$17,0)-1)*10+1))</f>
        <v>-</v>
      </c>
      <c r="X8" s="41" t="str">
        <f aca="false">IF(OR(X$4="",$B8=""),"",INDEX(Jahr!$D$5:$BA$370,X$4-DATE(Einstellungen!$C$4,1,1)+1,(MATCH($B8,Einstellungen!$B$13:$B$17,0)-1)*10+1))</f>
        <v>F</v>
      </c>
      <c r="Y8" s="41" t="str">
        <f aca="false">IF(OR(Y$4="",$B8=""),"",INDEX(Jahr!$D$5:$BA$370,Y$4-DATE(Einstellungen!$C$4,1,1)+1,(MATCH($B8,Einstellungen!$B$13:$B$17,0)-1)*10+1))</f>
        <v>F</v>
      </c>
      <c r="Z8" s="41" t="str">
        <f aca="false">IF(OR(Z$4="",$B8=""),"",INDEX(Jahr!$D$5:$BA$370,Z$4-DATE(Einstellungen!$C$4,1,1)+1,(MATCH($B8,Einstellungen!$B$13:$B$17,0)-1)*10+1))</f>
        <v>S</v>
      </c>
      <c r="AA8" s="41" t="str">
        <f aca="false">IF(OR(AA$4="",$B8=""),"",INDEX(Jahr!$D$5:$BA$370,AA$4-DATE(Einstellungen!$C$4,1,1)+1,(MATCH($B8,Einstellungen!$B$13:$B$17,0)-1)*10+1))</f>
        <v>S</v>
      </c>
      <c r="AB8" s="41" t="str">
        <f aca="false">IF(OR(AB$4="",$B8=""),"",INDEX(Jahr!$D$5:$BA$370,AB$4-DATE(Einstellungen!$C$4,1,1)+1,(MATCH($B8,Einstellungen!$B$13:$B$17,0)-1)*10+1))</f>
        <v>N</v>
      </c>
      <c r="AC8" s="41" t="str">
        <f aca="false">IF(OR(AC$4="",$B8=""),"",INDEX(Jahr!$D$5:$BA$370,AC$4-DATE(Einstellungen!$C$4,1,1)+1,(MATCH($B8,Einstellungen!$B$13:$B$17,0)-1)*10+1))</f>
        <v>N</v>
      </c>
      <c r="AD8" s="41" t="str">
        <f aca="false">IF(OR(AD$4="",$B8=""),"",INDEX(Jahr!$D$5:$BA$370,AD$4-DATE(Einstellungen!$C$4,1,1)+1,(MATCH($B8,Einstellungen!$B$13:$B$17,0)-1)*10+1))</f>
        <v>-</v>
      </c>
      <c r="AE8" s="41" t="str">
        <f aca="false">IF(OR(AE$4="",$B8=""),"",INDEX(Jahr!$D$5:$BA$370,AE$4-DATE(Einstellungen!$C$4,1,1)+1,(MATCH($B8,Einstellungen!$B$13:$B$17,0)-1)*10+1))</f>
        <v>-</v>
      </c>
      <c r="AF8" s="41" t="str">
        <f aca="false">IF(OR(AF$4="",$B8=""),"",INDEX(Jahr!$D$5:$BA$370,AF$4-DATE(Einstellungen!$C$4,1,1)+1,(MATCH($B8,Einstellungen!$B$13:$B$17,0)-1)*10+1))</f>
        <v>F</v>
      </c>
      <c r="AG8" s="41" t="str">
        <f aca="false">IF(OR(AG$4="",$B8=""),"",INDEX(Jahr!$D$5:$BA$370,AG$4-DATE(Einstellungen!$C$4,1,1)+1,(MATCH($B8,Einstellungen!$B$13:$B$17,0)-1)*10+1))</f>
        <v>F</v>
      </c>
      <c r="AH8" s="42" t="n">
        <f aca="false">IF($B8="","",SUMPRODUCT(--(SUMIF(Schichten!$A$5:$A$24,$C8:$AG8,Schichten!$F$5:$F$24)&gt;0)))</f>
        <v>23</v>
      </c>
      <c r="AI8" s="43" t="n">
        <f aca="false">IF($B8="","",SUMPRODUCT(SUMIF(Schichten!$A$5:$A$24,$C8:$AG8,Schichten!$F$5:$F$24)))</f>
        <v>184</v>
      </c>
      <c r="AJ8" s="42" t="n">
        <f aca="false">IF($B8="","",SUMPRODUCT(--(SUMIF(Schichten!$A$5:$A$24,$C8:$AG8,Schichten!$G$5:$G$24)&gt;0)))</f>
        <v>8</v>
      </c>
      <c r="AK8" s="44" t="n">
        <f aca="false">IF($B8="","",SUMPRODUCT(SUMIF(Schichten!$A$5:$A$24,$C8:$AG8,Schichten!$G$5:$G$24)))</f>
        <v>56</v>
      </c>
    </row>
    <row r="9" customFormat="false" ht="15" hidden="false" customHeight="false" outlineLevel="0" collapsed="false">
      <c r="A9" s="40" t="s">
        <v>130</v>
      </c>
      <c r="B9" s="15" t="s">
        <v>38</v>
      </c>
      <c r="C9" s="41" t="str">
        <f aca="false">IF(OR(C$4="",$B9=""),"",INDEX(Jahr!$D$5:$BA$370,C$4-DATE(Einstellungen!$C$4,1,1)+1,(MATCH($B9,Einstellungen!$B$13:$B$17,0)-1)*10+1))</f>
        <v>S</v>
      </c>
      <c r="D9" s="41" t="str">
        <f aca="false">IF(OR(D$4="",$B9=""),"",INDEX(Jahr!$D$5:$BA$370,D$4-DATE(Einstellungen!$C$4,1,1)+1,(MATCH($B9,Einstellungen!$B$13:$B$17,0)-1)*10+1))</f>
        <v>N</v>
      </c>
      <c r="E9" s="41" t="str">
        <f aca="false">IF(OR(E$4="",$B9=""),"",INDEX(Jahr!$D$5:$BA$370,E$4-DATE(Einstellungen!$C$4,1,1)+1,(MATCH($B9,Einstellungen!$B$13:$B$17,0)-1)*10+1))</f>
        <v>N</v>
      </c>
      <c r="F9" s="41" t="str">
        <f aca="false">IF(OR(F$4="",$B9=""),"",INDEX(Jahr!$D$5:$BA$370,F$4-DATE(Einstellungen!$C$4,1,1)+1,(MATCH($B9,Einstellungen!$B$13:$B$17,0)-1)*10+1))</f>
        <v>-</v>
      </c>
      <c r="G9" s="41" t="str">
        <f aca="false">IF(OR(G$4="",$B9=""),"",INDEX(Jahr!$D$5:$BA$370,G$4-DATE(Einstellungen!$C$4,1,1)+1,(MATCH($B9,Einstellungen!$B$13:$B$17,0)-1)*10+1))</f>
        <v>-</v>
      </c>
      <c r="H9" s="41" t="str">
        <f aca="false">IF(OR(H$4="",$B9=""),"",INDEX(Jahr!$D$5:$BA$370,H$4-DATE(Einstellungen!$C$4,1,1)+1,(MATCH($B9,Einstellungen!$B$13:$B$17,0)-1)*10+1))</f>
        <v>F</v>
      </c>
      <c r="I9" s="41" t="str">
        <f aca="false">IF(OR(I$4="",$B9=""),"",INDEX(Jahr!$D$5:$BA$370,I$4-DATE(Einstellungen!$C$4,1,1)+1,(MATCH($B9,Einstellungen!$B$13:$B$17,0)-1)*10+1))</f>
        <v>F</v>
      </c>
      <c r="J9" s="41" t="str">
        <f aca="false">IF(OR(J$4="",$B9=""),"",INDEX(Jahr!$D$5:$BA$370,J$4-DATE(Einstellungen!$C$4,1,1)+1,(MATCH($B9,Einstellungen!$B$13:$B$17,0)-1)*10+1))</f>
        <v>S</v>
      </c>
      <c r="K9" s="41" t="str">
        <f aca="false">IF(OR(K$4="",$B9=""),"",INDEX(Jahr!$D$5:$BA$370,K$4-DATE(Einstellungen!$C$4,1,1)+1,(MATCH($B9,Einstellungen!$B$13:$B$17,0)-1)*10+1))</f>
        <v>S</v>
      </c>
      <c r="L9" s="41" t="str">
        <f aca="false">IF(OR(L$4="",$B9=""),"",INDEX(Jahr!$D$5:$BA$370,L$4-DATE(Einstellungen!$C$4,1,1)+1,(MATCH($B9,Einstellungen!$B$13:$B$17,0)-1)*10+1))</f>
        <v>N</v>
      </c>
      <c r="M9" s="41" t="str">
        <f aca="false">IF(OR(M$4="",$B9=""),"",INDEX(Jahr!$D$5:$BA$370,M$4-DATE(Einstellungen!$C$4,1,1)+1,(MATCH($B9,Einstellungen!$B$13:$B$17,0)-1)*10+1))</f>
        <v>N</v>
      </c>
      <c r="N9" s="41" t="str">
        <f aca="false">IF(OR(N$4="",$B9=""),"",INDEX(Jahr!$D$5:$BA$370,N$4-DATE(Einstellungen!$C$4,1,1)+1,(MATCH($B9,Einstellungen!$B$13:$B$17,0)-1)*10+1))</f>
        <v>-</v>
      </c>
      <c r="O9" s="41" t="str">
        <f aca="false">IF(OR(O$4="",$B9=""),"",INDEX(Jahr!$D$5:$BA$370,O$4-DATE(Einstellungen!$C$4,1,1)+1,(MATCH($B9,Einstellungen!$B$13:$B$17,0)-1)*10+1))</f>
        <v>-</v>
      </c>
      <c r="P9" s="41" t="str">
        <f aca="false">IF(OR(P$4="",$B9=""),"",INDEX(Jahr!$D$5:$BA$370,P$4-DATE(Einstellungen!$C$4,1,1)+1,(MATCH($B9,Einstellungen!$B$13:$B$17,0)-1)*10+1))</f>
        <v>F</v>
      </c>
      <c r="Q9" s="41" t="str">
        <f aca="false">IF(OR(Q$4="",$B9=""),"",INDEX(Jahr!$D$5:$BA$370,Q$4-DATE(Einstellungen!$C$4,1,1)+1,(MATCH($B9,Einstellungen!$B$13:$B$17,0)-1)*10+1))</f>
        <v>F</v>
      </c>
      <c r="R9" s="41" t="str">
        <f aca="false">IF(OR(R$4="",$B9=""),"",INDEX(Jahr!$D$5:$BA$370,R$4-DATE(Einstellungen!$C$4,1,1)+1,(MATCH($B9,Einstellungen!$B$13:$B$17,0)-1)*10+1))</f>
        <v>S</v>
      </c>
      <c r="S9" s="41" t="str">
        <f aca="false">IF(OR(S$4="",$B9=""),"",INDEX(Jahr!$D$5:$BA$370,S$4-DATE(Einstellungen!$C$4,1,1)+1,(MATCH($B9,Einstellungen!$B$13:$B$17,0)-1)*10+1))</f>
        <v>S</v>
      </c>
      <c r="T9" s="41" t="str">
        <f aca="false">IF(OR(T$4="",$B9=""),"",INDEX(Jahr!$D$5:$BA$370,T$4-DATE(Einstellungen!$C$4,1,1)+1,(MATCH($B9,Einstellungen!$B$13:$B$17,0)-1)*10+1))</f>
        <v>N</v>
      </c>
      <c r="U9" s="41" t="str">
        <f aca="false">IF(OR(U$4="",$B9=""),"",INDEX(Jahr!$D$5:$BA$370,U$4-DATE(Einstellungen!$C$4,1,1)+1,(MATCH($B9,Einstellungen!$B$13:$B$17,0)-1)*10+1))</f>
        <v>N</v>
      </c>
      <c r="V9" s="41" t="str">
        <f aca="false">IF(OR(V$4="",$B9=""),"",INDEX(Jahr!$D$5:$BA$370,V$4-DATE(Einstellungen!$C$4,1,1)+1,(MATCH($B9,Einstellungen!$B$13:$B$17,0)-1)*10+1))</f>
        <v>-</v>
      </c>
      <c r="W9" s="41" t="str">
        <f aca="false">IF(OR(W$4="",$B9=""),"",INDEX(Jahr!$D$5:$BA$370,W$4-DATE(Einstellungen!$C$4,1,1)+1,(MATCH($B9,Einstellungen!$B$13:$B$17,0)-1)*10+1))</f>
        <v>-</v>
      </c>
      <c r="X9" s="41" t="str">
        <f aca="false">IF(OR(X$4="",$B9=""),"",INDEX(Jahr!$D$5:$BA$370,X$4-DATE(Einstellungen!$C$4,1,1)+1,(MATCH($B9,Einstellungen!$B$13:$B$17,0)-1)*10+1))</f>
        <v>F</v>
      </c>
      <c r="Y9" s="41" t="str">
        <f aca="false">IF(OR(Y$4="",$B9=""),"",INDEX(Jahr!$D$5:$BA$370,Y$4-DATE(Einstellungen!$C$4,1,1)+1,(MATCH($B9,Einstellungen!$B$13:$B$17,0)-1)*10+1))</f>
        <v>F</v>
      </c>
      <c r="Z9" s="41" t="str">
        <f aca="false">IF(OR(Z$4="",$B9=""),"",INDEX(Jahr!$D$5:$BA$370,Z$4-DATE(Einstellungen!$C$4,1,1)+1,(MATCH($B9,Einstellungen!$B$13:$B$17,0)-1)*10+1))</f>
        <v>S</v>
      </c>
      <c r="AA9" s="41" t="str">
        <f aca="false">IF(OR(AA$4="",$B9=""),"",INDEX(Jahr!$D$5:$BA$370,AA$4-DATE(Einstellungen!$C$4,1,1)+1,(MATCH($B9,Einstellungen!$B$13:$B$17,0)-1)*10+1))</f>
        <v>S</v>
      </c>
      <c r="AB9" s="41" t="str">
        <f aca="false">IF(OR(AB$4="",$B9=""),"",INDEX(Jahr!$D$5:$BA$370,AB$4-DATE(Einstellungen!$C$4,1,1)+1,(MATCH($B9,Einstellungen!$B$13:$B$17,0)-1)*10+1))</f>
        <v>N</v>
      </c>
      <c r="AC9" s="41" t="str">
        <f aca="false">IF(OR(AC$4="",$B9=""),"",INDEX(Jahr!$D$5:$BA$370,AC$4-DATE(Einstellungen!$C$4,1,1)+1,(MATCH($B9,Einstellungen!$B$13:$B$17,0)-1)*10+1))</f>
        <v>N</v>
      </c>
      <c r="AD9" s="41" t="str">
        <f aca="false">IF(OR(AD$4="",$B9=""),"",INDEX(Jahr!$D$5:$BA$370,AD$4-DATE(Einstellungen!$C$4,1,1)+1,(MATCH($B9,Einstellungen!$B$13:$B$17,0)-1)*10+1))</f>
        <v>-</v>
      </c>
      <c r="AE9" s="41" t="str">
        <f aca="false">IF(OR(AE$4="",$B9=""),"",INDEX(Jahr!$D$5:$BA$370,AE$4-DATE(Einstellungen!$C$4,1,1)+1,(MATCH($B9,Einstellungen!$B$13:$B$17,0)-1)*10+1))</f>
        <v>-</v>
      </c>
      <c r="AF9" s="41" t="str">
        <f aca="false">IF(OR(AF$4="",$B9=""),"",INDEX(Jahr!$D$5:$BA$370,AF$4-DATE(Einstellungen!$C$4,1,1)+1,(MATCH($B9,Einstellungen!$B$13:$B$17,0)-1)*10+1))</f>
        <v>F</v>
      </c>
      <c r="AG9" s="41" t="str">
        <f aca="false">IF(OR(AG$4="",$B9=""),"",INDEX(Jahr!$D$5:$BA$370,AG$4-DATE(Einstellungen!$C$4,1,1)+1,(MATCH($B9,Einstellungen!$B$13:$B$17,0)-1)*10+1))</f>
        <v>F</v>
      </c>
      <c r="AH9" s="42" t="n">
        <f aca="false">IF($B9="","",SUMPRODUCT(--(SUMIF(Schichten!$A$5:$A$24,$C9:$AG9,Schichten!$F$5:$F$24)&gt;0)))</f>
        <v>23</v>
      </c>
      <c r="AI9" s="43" t="n">
        <f aca="false">IF($B9="","",SUMPRODUCT(SUMIF(Schichten!$A$5:$A$24,$C9:$AG9,Schichten!$F$5:$F$24)))</f>
        <v>184</v>
      </c>
      <c r="AJ9" s="42" t="n">
        <f aca="false">IF($B9="","",SUMPRODUCT(--(SUMIF(Schichten!$A$5:$A$24,$C9:$AG9,Schichten!$G$5:$G$24)&gt;0)))</f>
        <v>8</v>
      </c>
      <c r="AK9" s="44" t="n">
        <f aca="false">IF($B9="","",SUMPRODUCT(SUMIF(Schichten!$A$5:$A$24,$C9:$AG9,Schichten!$G$5:$G$24)))</f>
        <v>56</v>
      </c>
    </row>
    <row r="10" customFormat="false" ht="15" hidden="false" customHeight="false" outlineLevel="0" collapsed="false">
      <c r="A10" s="40" t="s">
        <v>131</v>
      </c>
      <c r="B10" s="15" t="s">
        <v>39</v>
      </c>
      <c r="C10" s="41" t="str">
        <f aca="false">IF(OR(C$4="",$B10=""),"",INDEX(Jahr!$D$5:$BA$370,C$4-DATE(Einstellungen!$C$4,1,1)+1,(MATCH($B10,Einstellungen!$B$13:$B$17,0)-1)*10+1))</f>
        <v>F</v>
      </c>
      <c r="D10" s="41" t="str">
        <f aca="false">IF(OR(D$4="",$B10=""),"",INDEX(Jahr!$D$5:$BA$370,D$4-DATE(Einstellungen!$C$4,1,1)+1,(MATCH($B10,Einstellungen!$B$13:$B$17,0)-1)*10+1))</f>
        <v>S</v>
      </c>
      <c r="E10" s="41" t="str">
        <f aca="false">IF(OR(E$4="",$B10=""),"",INDEX(Jahr!$D$5:$BA$370,E$4-DATE(Einstellungen!$C$4,1,1)+1,(MATCH($B10,Einstellungen!$B$13:$B$17,0)-1)*10+1))</f>
        <v>S</v>
      </c>
      <c r="F10" s="41" t="str">
        <f aca="false">IF(OR(F$4="",$B10=""),"",INDEX(Jahr!$D$5:$BA$370,F$4-DATE(Einstellungen!$C$4,1,1)+1,(MATCH($B10,Einstellungen!$B$13:$B$17,0)-1)*10+1))</f>
        <v>N</v>
      </c>
      <c r="G10" s="41" t="str">
        <f aca="false">IF(OR(G$4="",$B10=""),"",INDEX(Jahr!$D$5:$BA$370,G$4-DATE(Einstellungen!$C$4,1,1)+1,(MATCH($B10,Einstellungen!$B$13:$B$17,0)-1)*10+1))</f>
        <v>N</v>
      </c>
      <c r="H10" s="41" t="str">
        <f aca="false">IF(OR(H$4="",$B10=""),"",INDEX(Jahr!$D$5:$BA$370,H$4-DATE(Einstellungen!$C$4,1,1)+1,(MATCH($B10,Einstellungen!$B$13:$B$17,0)-1)*10+1))</f>
        <v>-</v>
      </c>
      <c r="I10" s="41" t="str">
        <f aca="false">IF(OR(I$4="",$B10=""),"",INDEX(Jahr!$D$5:$BA$370,I$4-DATE(Einstellungen!$C$4,1,1)+1,(MATCH($B10,Einstellungen!$B$13:$B$17,0)-1)*10+1))</f>
        <v>-</v>
      </c>
      <c r="J10" s="41" t="str">
        <f aca="false">IF(OR(J$4="",$B10=""),"",INDEX(Jahr!$D$5:$BA$370,J$4-DATE(Einstellungen!$C$4,1,1)+1,(MATCH($B10,Einstellungen!$B$13:$B$17,0)-1)*10+1))</f>
        <v>F</v>
      </c>
      <c r="K10" s="41" t="str">
        <f aca="false">IF(OR(K$4="",$B10=""),"",INDEX(Jahr!$D$5:$BA$370,K$4-DATE(Einstellungen!$C$4,1,1)+1,(MATCH($B10,Einstellungen!$B$13:$B$17,0)-1)*10+1))</f>
        <v>F</v>
      </c>
      <c r="L10" s="41" t="str">
        <f aca="false">IF(OR(L$4="",$B10=""),"",INDEX(Jahr!$D$5:$BA$370,L$4-DATE(Einstellungen!$C$4,1,1)+1,(MATCH($B10,Einstellungen!$B$13:$B$17,0)-1)*10+1))</f>
        <v>S</v>
      </c>
      <c r="M10" s="41" t="str">
        <f aca="false">IF(OR(M$4="",$B10=""),"",INDEX(Jahr!$D$5:$BA$370,M$4-DATE(Einstellungen!$C$4,1,1)+1,(MATCH($B10,Einstellungen!$B$13:$B$17,0)-1)*10+1))</f>
        <v>S</v>
      </c>
      <c r="N10" s="41" t="str">
        <f aca="false">IF(OR(N$4="",$B10=""),"",INDEX(Jahr!$D$5:$BA$370,N$4-DATE(Einstellungen!$C$4,1,1)+1,(MATCH($B10,Einstellungen!$B$13:$B$17,0)-1)*10+1))</f>
        <v>N</v>
      </c>
      <c r="O10" s="41" t="str">
        <f aca="false">IF(OR(O$4="",$B10=""),"",INDEX(Jahr!$D$5:$BA$370,O$4-DATE(Einstellungen!$C$4,1,1)+1,(MATCH($B10,Einstellungen!$B$13:$B$17,0)-1)*10+1))</f>
        <v>N</v>
      </c>
      <c r="P10" s="41" t="str">
        <f aca="false">IF(OR(P$4="",$B10=""),"",INDEX(Jahr!$D$5:$BA$370,P$4-DATE(Einstellungen!$C$4,1,1)+1,(MATCH($B10,Einstellungen!$B$13:$B$17,0)-1)*10+1))</f>
        <v>-</v>
      </c>
      <c r="Q10" s="41" t="str">
        <f aca="false">IF(OR(Q$4="",$B10=""),"",INDEX(Jahr!$D$5:$BA$370,Q$4-DATE(Einstellungen!$C$4,1,1)+1,(MATCH($B10,Einstellungen!$B$13:$B$17,0)-1)*10+1))</f>
        <v>-</v>
      </c>
      <c r="R10" s="41" t="str">
        <f aca="false">IF(OR(R$4="",$B10=""),"",INDEX(Jahr!$D$5:$BA$370,R$4-DATE(Einstellungen!$C$4,1,1)+1,(MATCH($B10,Einstellungen!$B$13:$B$17,0)-1)*10+1))</f>
        <v>F</v>
      </c>
      <c r="S10" s="41" t="str">
        <f aca="false">IF(OR(S$4="",$B10=""),"",INDEX(Jahr!$D$5:$BA$370,S$4-DATE(Einstellungen!$C$4,1,1)+1,(MATCH($B10,Einstellungen!$B$13:$B$17,0)-1)*10+1))</f>
        <v>F</v>
      </c>
      <c r="T10" s="41" t="str">
        <f aca="false">IF(OR(T$4="",$B10=""),"",INDEX(Jahr!$D$5:$BA$370,T$4-DATE(Einstellungen!$C$4,1,1)+1,(MATCH($B10,Einstellungen!$B$13:$B$17,0)-1)*10+1))</f>
        <v>S</v>
      </c>
      <c r="U10" s="41" t="str">
        <f aca="false">IF(OR(U$4="",$B10=""),"",INDEX(Jahr!$D$5:$BA$370,U$4-DATE(Einstellungen!$C$4,1,1)+1,(MATCH($B10,Einstellungen!$B$13:$B$17,0)-1)*10+1))</f>
        <v>S</v>
      </c>
      <c r="V10" s="41" t="str">
        <f aca="false">IF(OR(V$4="",$B10=""),"",INDEX(Jahr!$D$5:$BA$370,V$4-DATE(Einstellungen!$C$4,1,1)+1,(MATCH($B10,Einstellungen!$B$13:$B$17,0)-1)*10+1))</f>
        <v>N</v>
      </c>
      <c r="W10" s="41" t="str">
        <f aca="false">IF(OR(W$4="",$B10=""),"",INDEX(Jahr!$D$5:$BA$370,W$4-DATE(Einstellungen!$C$4,1,1)+1,(MATCH($B10,Einstellungen!$B$13:$B$17,0)-1)*10+1))</f>
        <v>N</v>
      </c>
      <c r="X10" s="41" t="str">
        <f aca="false">IF(OR(X$4="",$B10=""),"",INDEX(Jahr!$D$5:$BA$370,X$4-DATE(Einstellungen!$C$4,1,1)+1,(MATCH($B10,Einstellungen!$B$13:$B$17,0)-1)*10+1))</f>
        <v>-</v>
      </c>
      <c r="Y10" s="41" t="str">
        <f aca="false">IF(OR(Y$4="",$B10=""),"",INDEX(Jahr!$D$5:$BA$370,Y$4-DATE(Einstellungen!$C$4,1,1)+1,(MATCH($B10,Einstellungen!$B$13:$B$17,0)-1)*10+1))</f>
        <v>-</v>
      </c>
      <c r="Z10" s="41" t="str">
        <f aca="false">IF(OR(Z$4="",$B10=""),"",INDEX(Jahr!$D$5:$BA$370,Z$4-DATE(Einstellungen!$C$4,1,1)+1,(MATCH($B10,Einstellungen!$B$13:$B$17,0)-1)*10+1))</f>
        <v>F</v>
      </c>
      <c r="AA10" s="41" t="str">
        <f aca="false">IF(OR(AA$4="",$B10=""),"",INDEX(Jahr!$D$5:$BA$370,AA$4-DATE(Einstellungen!$C$4,1,1)+1,(MATCH($B10,Einstellungen!$B$13:$B$17,0)-1)*10+1))</f>
        <v>F</v>
      </c>
      <c r="AB10" s="41" t="str">
        <f aca="false">IF(OR(AB$4="",$B10=""),"",INDEX(Jahr!$D$5:$BA$370,AB$4-DATE(Einstellungen!$C$4,1,1)+1,(MATCH($B10,Einstellungen!$B$13:$B$17,0)-1)*10+1))</f>
        <v>S</v>
      </c>
      <c r="AC10" s="41" t="str">
        <f aca="false">IF(OR(AC$4="",$B10=""),"",INDEX(Jahr!$D$5:$BA$370,AC$4-DATE(Einstellungen!$C$4,1,1)+1,(MATCH($B10,Einstellungen!$B$13:$B$17,0)-1)*10+1))</f>
        <v>S</v>
      </c>
      <c r="AD10" s="41" t="str">
        <f aca="false">IF(OR(AD$4="",$B10=""),"",INDEX(Jahr!$D$5:$BA$370,AD$4-DATE(Einstellungen!$C$4,1,1)+1,(MATCH($B10,Einstellungen!$B$13:$B$17,0)-1)*10+1))</f>
        <v>N</v>
      </c>
      <c r="AE10" s="41" t="str">
        <f aca="false">IF(OR(AE$4="",$B10=""),"",INDEX(Jahr!$D$5:$BA$370,AE$4-DATE(Einstellungen!$C$4,1,1)+1,(MATCH($B10,Einstellungen!$B$13:$B$17,0)-1)*10+1))</f>
        <v>N</v>
      </c>
      <c r="AF10" s="41" t="str">
        <f aca="false">IF(OR(AF$4="",$B10=""),"",INDEX(Jahr!$D$5:$BA$370,AF$4-DATE(Einstellungen!$C$4,1,1)+1,(MATCH($B10,Einstellungen!$B$13:$B$17,0)-1)*10+1))</f>
        <v>-</v>
      </c>
      <c r="AG10" s="41" t="str">
        <f aca="false">IF(OR(AG$4="",$B10=""),"",INDEX(Jahr!$D$5:$BA$370,AG$4-DATE(Einstellungen!$C$4,1,1)+1,(MATCH($B10,Einstellungen!$B$13:$B$17,0)-1)*10+1))</f>
        <v>-</v>
      </c>
      <c r="AH10" s="42" t="n">
        <f aca="false">IF($B10="","",SUMPRODUCT(--(SUMIF(Schichten!$A$5:$A$24,$C10:$AG10,Schichten!$F$5:$F$24)&gt;0)))</f>
        <v>23</v>
      </c>
      <c r="AI10" s="43" t="n">
        <f aca="false">IF($B10="","",SUMPRODUCT(SUMIF(Schichten!$A$5:$A$24,$C10:$AG10,Schichten!$F$5:$F$24)))</f>
        <v>184</v>
      </c>
      <c r="AJ10" s="42" t="n">
        <f aca="false">IF($B10="","",SUMPRODUCT(--(SUMIF(Schichten!$A$5:$A$24,$C10:$AG10,Schichten!$G$5:$G$24)&gt;0)))</f>
        <v>8</v>
      </c>
      <c r="AK10" s="44" t="n">
        <f aca="false">IF($B10="","",SUMPRODUCT(SUMIF(Schichten!$A$5:$A$24,$C10:$AG10,Schichten!$G$5:$G$24)))</f>
        <v>56</v>
      </c>
    </row>
    <row r="11" customFormat="false" ht="15" hidden="false" customHeight="false" outlineLevel="0" collapsed="false">
      <c r="A11" s="40" t="s">
        <v>132</v>
      </c>
      <c r="B11" s="15" t="s">
        <v>39</v>
      </c>
      <c r="C11" s="41" t="str">
        <f aca="false">IF(OR(C$4="",$B11=""),"",INDEX(Jahr!$D$5:$BA$370,C$4-DATE(Einstellungen!$C$4,1,1)+1,(MATCH($B11,Einstellungen!$B$13:$B$17,0)-1)*10+1))</f>
        <v>F</v>
      </c>
      <c r="D11" s="41" t="str">
        <f aca="false">IF(OR(D$4="",$B11=""),"",INDEX(Jahr!$D$5:$BA$370,D$4-DATE(Einstellungen!$C$4,1,1)+1,(MATCH($B11,Einstellungen!$B$13:$B$17,0)-1)*10+1))</f>
        <v>S</v>
      </c>
      <c r="E11" s="41" t="str">
        <f aca="false">IF(OR(E$4="",$B11=""),"",INDEX(Jahr!$D$5:$BA$370,E$4-DATE(Einstellungen!$C$4,1,1)+1,(MATCH($B11,Einstellungen!$B$13:$B$17,0)-1)*10+1))</f>
        <v>S</v>
      </c>
      <c r="F11" s="41" t="str">
        <f aca="false">IF(OR(F$4="",$B11=""),"",INDEX(Jahr!$D$5:$BA$370,F$4-DATE(Einstellungen!$C$4,1,1)+1,(MATCH($B11,Einstellungen!$B$13:$B$17,0)-1)*10+1))</f>
        <v>N</v>
      </c>
      <c r="G11" s="41" t="str">
        <f aca="false">IF(OR(G$4="",$B11=""),"",INDEX(Jahr!$D$5:$BA$370,G$4-DATE(Einstellungen!$C$4,1,1)+1,(MATCH($B11,Einstellungen!$B$13:$B$17,0)-1)*10+1))</f>
        <v>N</v>
      </c>
      <c r="H11" s="41" t="str">
        <f aca="false">IF(OR(H$4="",$B11=""),"",INDEX(Jahr!$D$5:$BA$370,H$4-DATE(Einstellungen!$C$4,1,1)+1,(MATCH($B11,Einstellungen!$B$13:$B$17,0)-1)*10+1))</f>
        <v>-</v>
      </c>
      <c r="I11" s="41" t="str">
        <f aca="false">IF(OR(I$4="",$B11=""),"",INDEX(Jahr!$D$5:$BA$370,I$4-DATE(Einstellungen!$C$4,1,1)+1,(MATCH($B11,Einstellungen!$B$13:$B$17,0)-1)*10+1))</f>
        <v>-</v>
      </c>
      <c r="J11" s="41" t="str">
        <f aca="false">IF(OR(J$4="",$B11=""),"",INDEX(Jahr!$D$5:$BA$370,J$4-DATE(Einstellungen!$C$4,1,1)+1,(MATCH($B11,Einstellungen!$B$13:$B$17,0)-1)*10+1))</f>
        <v>F</v>
      </c>
      <c r="K11" s="41" t="str">
        <f aca="false">IF(OR(K$4="",$B11=""),"",INDEX(Jahr!$D$5:$BA$370,K$4-DATE(Einstellungen!$C$4,1,1)+1,(MATCH($B11,Einstellungen!$B$13:$B$17,0)-1)*10+1))</f>
        <v>F</v>
      </c>
      <c r="L11" s="41" t="str">
        <f aca="false">IF(OR(L$4="",$B11=""),"",INDEX(Jahr!$D$5:$BA$370,L$4-DATE(Einstellungen!$C$4,1,1)+1,(MATCH($B11,Einstellungen!$B$13:$B$17,0)-1)*10+1))</f>
        <v>S</v>
      </c>
      <c r="M11" s="41" t="str">
        <f aca="false">IF(OR(M$4="",$B11=""),"",INDEX(Jahr!$D$5:$BA$370,M$4-DATE(Einstellungen!$C$4,1,1)+1,(MATCH($B11,Einstellungen!$B$13:$B$17,0)-1)*10+1))</f>
        <v>S</v>
      </c>
      <c r="N11" s="41" t="str">
        <f aca="false">IF(OR(N$4="",$B11=""),"",INDEX(Jahr!$D$5:$BA$370,N$4-DATE(Einstellungen!$C$4,1,1)+1,(MATCH($B11,Einstellungen!$B$13:$B$17,0)-1)*10+1))</f>
        <v>N</v>
      </c>
      <c r="O11" s="41" t="str">
        <f aca="false">IF(OR(O$4="",$B11=""),"",INDEX(Jahr!$D$5:$BA$370,O$4-DATE(Einstellungen!$C$4,1,1)+1,(MATCH($B11,Einstellungen!$B$13:$B$17,0)-1)*10+1))</f>
        <v>N</v>
      </c>
      <c r="P11" s="41" t="str">
        <f aca="false">IF(OR(P$4="",$B11=""),"",INDEX(Jahr!$D$5:$BA$370,P$4-DATE(Einstellungen!$C$4,1,1)+1,(MATCH($B11,Einstellungen!$B$13:$B$17,0)-1)*10+1))</f>
        <v>-</v>
      </c>
      <c r="Q11" s="41" t="str">
        <f aca="false">IF(OR(Q$4="",$B11=""),"",INDEX(Jahr!$D$5:$BA$370,Q$4-DATE(Einstellungen!$C$4,1,1)+1,(MATCH($B11,Einstellungen!$B$13:$B$17,0)-1)*10+1))</f>
        <v>-</v>
      </c>
      <c r="R11" s="41" t="str">
        <f aca="false">IF(OR(R$4="",$B11=""),"",INDEX(Jahr!$D$5:$BA$370,R$4-DATE(Einstellungen!$C$4,1,1)+1,(MATCH($B11,Einstellungen!$B$13:$B$17,0)-1)*10+1))</f>
        <v>F</v>
      </c>
      <c r="S11" s="41" t="str">
        <f aca="false">IF(OR(S$4="",$B11=""),"",INDEX(Jahr!$D$5:$BA$370,S$4-DATE(Einstellungen!$C$4,1,1)+1,(MATCH($B11,Einstellungen!$B$13:$B$17,0)-1)*10+1))</f>
        <v>F</v>
      </c>
      <c r="T11" s="41" t="str">
        <f aca="false">IF(OR(T$4="",$B11=""),"",INDEX(Jahr!$D$5:$BA$370,T$4-DATE(Einstellungen!$C$4,1,1)+1,(MATCH($B11,Einstellungen!$B$13:$B$17,0)-1)*10+1))</f>
        <v>S</v>
      </c>
      <c r="U11" s="41" t="str">
        <f aca="false">IF(OR(U$4="",$B11=""),"",INDEX(Jahr!$D$5:$BA$370,U$4-DATE(Einstellungen!$C$4,1,1)+1,(MATCH($B11,Einstellungen!$B$13:$B$17,0)-1)*10+1))</f>
        <v>S</v>
      </c>
      <c r="V11" s="41" t="str">
        <f aca="false">IF(OR(V$4="",$B11=""),"",INDEX(Jahr!$D$5:$BA$370,V$4-DATE(Einstellungen!$C$4,1,1)+1,(MATCH($B11,Einstellungen!$B$13:$B$17,0)-1)*10+1))</f>
        <v>N</v>
      </c>
      <c r="W11" s="41" t="str">
        <f aca="false">IF(OR(W$4="",$B11=""),"",INDEX(Jahr!$D$5:$BA$370,W$4-DATE(Einstellungen!$C$4,1,1)+1,(MATCH($B11,Einstellungen!$B$13:$B$17,0)-1)*10+1))</f>
        <v>N</v>
      </c>
      <c r="X11" s="41" t="str">
        <f aca="false">IF(OR(X$4="",$B11=""),"",INDEX(Jahr!$D$5:$BA$370,X$4-DATE(Einstellungen!$C$4,1,1)+1,(MATCH($B11,Einstellungen!$B$13:$B$17,0)-1)*10+1))</f>
        <v>-</v>
      </c>
      <c r="Y11" s="41" t="str">
        <f aca="false">IF(OR(Y$4="",$B11=""),"",INDEX(Jahr!$D$5:$BA$370,Y$4-DATE(Einstellungen!$C$4,1,1)+1,(MATCH($B11,Einstellungen!$B$13:$B$17,0)-1)*10+1))</f>
        <v>-</v>
      </c>
      <c r="Z11" s="41" t="str">
        <f aca="false">IF(OR(Z$4="",$B11=""),"",INDEX(Jahr!$D$5:$BA$370,Z$4-DATE(Einstellungen!$C$4,1,1)+1,(MATCH($B11,Einstellungen!$B$13:$B$17,0)-1)*10+1))</f>
        <v>F</v>
      </c>
      <c r="AA11" s="41" t="str">
        <f aca="false">IF(OR(AA$4="",$B11=""),"",INDEX(Jahr!$D$5:$BA$370,AA$4-DATE(Einstellungen!$C$4,1,1)+1,(MATCH($B11,Einstellungen!$B$13:$B$17,0)-1)*10+1))</f>
        <v>F</v>
      </c>
      <c r="AB11" s="41" t="str">
        <f aca="false">IF(OR(AB$4="",$B11=""),"",INDEX(Jahr!$D$5:$BA$370,AB$4-DATE(Einstellungen!$C$4,1,1)+1,(MATCH($B11,Einstellungen!$B$13:$B$17,0)-1)*10+1))</f>
        <v>S</v>
      </c>
      <c r="AC11" s="41" t="str">
        <f aca="false">IF(OR(AC$4="",$B11=""),"",INDEX(Jahr!$D$5:$BA$370,AC$4-DATE(Einstellungen!$C$4,1,1)+1,(MATCH($B11,Einstellungen!$B$13:$B$17,0)-1)*10+1))</f>
        <v>S</v>
      </c>
      <c r="AD11" s="41" t="str">
        <f aca="false">IF(OR(AD$4="",$B11=""),"",INDEX(Jahr!$D$5:$BA$370,AD$4-DATE(Einstellungen!$C$4,1,1)+1,(MATCH($B11,Einstellungen!$B$13:$B$17,0)-1)*10+1))</f>
        <v>N</v>
      </c>
      <c r="AE11" s="41" t="str">
        <f aca="false">IF(OR(AE$4="",$B11=""),"",INDEX(Jahr!$D$5:$BA$370,AE$4-DATE(Einstellungen!$C$4,1,1)+1,(MATCH($B11,Einstellungen!$B$13:$B$17,0)-1)*10+1))</f>
        <v>N</v>
      </c>
      <c r="AF11" s="41" t="str">
        <f aca="false">IF(OR(AF$4="",$B11=""),"",INDEX(Jahr!$D$5:$BA$370,AF$4-DATE(Einstellungen!$C$4,1,1)+1,(MATCH($B11,Einstellungen!$B$13:$B$17,0)-1)*10+1))</f>
        <v>-</v>
      </c>
      <c r="AG11" s="41" t="str">
        <f aca="false">IF(OR(AG$4="",$B11=""),"",INDEX(Jahr!$D$5:$BA$370,AG$4-DATE(Einstellungen!$C$4,1,1)+1,(MATCH($B11,Einstellungen!$B$13:$B$17,0)-1)*10+1))</f>
        <v>-</v>
      </c>
      <c r="AH11" s="42" t="n">
        <f aca="false">IF($B11="","",SUMPRODUCT(--(SUMIF(Schichten!$A$5:$A$24,$C11:$AG11,Schichten!$F$5:$F$24)&gt;0)))</f>
        <v>23</v>
      </c>
      <c r="AI11" s="43" t="n">
        <f aca="false">IF($B11="","",SUMPRODUCT(SUMIF(Schichten!$A$5:$A$24,$C11:$AG11,Schichten!$F$5:$F$24)))</f>
        <v>184</v>
      </c>
      <c r="AJ11" s="42" t="n">
        <f aca="false">IF($B11="","",SUMPRODUCT(--(SUMIF(Schichten!$A$5:$A$24,$C11:$AG11,Schichten!$G$5:$G$24)&gt;0)))</f>
        <v>8</v>
      </c>
      <c r="AK11" s="44" t="n">
        <f aca="false">IF($B11="","",SUMPRODUCT(SUMIF(Schichten!$A$5:$A$24,$C11:$AG11,Schichten!$G$5:$G$24)))</f>
        <v>56</v>
      </c>
    </row>
    <row r="12" customFormat="false" ht="15" hidden="false" customHeight="false" outlineLevel="0" collapsed="false">
      <c r="A12" s="40" t="s">
        <v>133</v>
      </c>
      <c r="B12" s="15" t="s">
        <v>40</v>
      </c>
      <c r="C12" s="41" t="str">
        <f aca="false">IF(OR(C$4="",$B12=""),"",INDEX(Jahr!$D$5:$BA$370,C$4-DATE(Einstellungen!$C$4,1,1)+1,(MATCH($B12,Einstellungen!$B$13:$B$17,0)-1)*10+1))</f>
        <v>-</v>
      </c>
      <c r="D12" s="41" t="str">
        <f aca="false">IF(OR(D$4="",$B12=""),"",INDEX(Jahr!$D$5:$BA$370,D$4-DATE(Einstellungen!$C$4,1,1)+1,(MATCH($B12,Einstellungen!$B$13:$B$17,0)-1)*10+1))</f>
        <v>F</v>
      </c>
      <c r="E12" s="41" t="str">
        <f aca="false">IF(OR(E$4="",$B12=""),"",INDEX(Jahr!$D$5:$BA$370,E$4-DATE(Einstellungen!$C$4,1,1)+1,(MATCH($B12,Einstellungen!$B$13:$B$17,0)-1)*10+1))</f>
        <v>F</v>
      </c>
      <c r="F12" s="41" t="str">
        <f aca="false">IF(OR(F$4="",$B12=""),"",INDEX(Jahr!$D$5:$BA$370,F$4-DATE(Einstellungen!$C$4,1,1)+1,(MATCH($B12,Einstellungen!$B$13:$B$17,0)-1)*10+1))</f>
        <v>S</v>
      </c>
      <c r="G12" s="41" t="str">
        <f aca="false">IF(OR(G$4="",$B12=""),"",INDEX(Jahr!$D$5:$BA$370,G$4-DATE(Einstellungen!$C$4,1,1)+1,(MATCH($B12,Einstellungen!$B$13:$B$17,0)-1)*10+1))</f>
        <v>S</v>
      </c>
      <c r="H12" s="41" t="str">
        <f aca="false">IF(OR(H$4="",$B12=""),"",INDEX(Jahr!$D$5:$BA$370,H$4-DATE(Einstellungen!$C$4,1,1)+1,(MATCH($B12,Einstellungen!$B$13:$B$17,0)-1)*10+1))</f>
        <v>N</v>
      </c>
      <c r="I12" s="41" t="str">
        <f aca="false">IF(OR(I$4="",$B12=""),"",INDEX(Jahr!$D$5:$BA$370,I$4-DATE(Einstellungen!$C$4,1,1)+1,(MATCH($B12,Einstellungen!$B$13:$B$17,0)-1)*10+1))</f>
        <v>N</v>
      </c>
      <c r="J12" s="41" t="str">
        <f aca="false">IF(OR(J$4="",$B12=""),"",INDEX(Jahr!$D$5:$BA$370,J$4-DATE(Einstellungen!$C$4,1,1)+1,(MATCH($B12,Einstellungen!$B$13:$B$17,0)-1)*10+1))</f>
        <v>-</v>
      </c>
      <c r="K12" s="41" t="str">
        <f aca="false">IF(OR(K$4="",$B12=""),"",INDEX(Jahr!$D$5:$BA$370,K$4-DATE(Einstellungen!$C$4,1,1)+1,(MATCH($B12,Einstellungen!$B$13:$B$17,0)-1)*10+1))</f>
        <v>-</v>
      </c>
      <c r="L12" s="41" t="str">
        <f aca="false">IF(OR(L$4="",$B12=""),"",INDEX(Jahr!$D$5:$BA$370,L$4-DATE(Einstellungen!$C$4,1,1)+1,(MATCH($B12,Einstellungen!$B$13:$B$17,0)-1)*10+1))</f>
        <v>F</v>
      </c>
      <c r="M12" s="41" t="str">
        <f aca="false">IF(OR(M$4="",$B12=""),"",INDEX(Jahr!$D$5:$BA$370,M$4-DATE(Einstellungen!$C$4,1,1)+1,(MATCH($B12,Einstellungen!$B$13:$B$17,0)-1)*10+1))</f>
        <v>F</v>
      </c>
      <c r="N12" s="41" t="str">
        <f aca="false">IF(OR(N$4="",$B12=""),"",INDEX(Jahr!$D$5:$BA$370,N$4-DATE(Einstellungen!$C$4,1,1)+1,(MATCH($B12,Einstellungen!$B$13:$B$17,0)-1)*10+1))</f>
        <v>S</v>
      </c>
      <c r="O12" s="41" t="str">
        <f aca="false">IF(OR(O$4="",$B12=""),"",INDEX(Jahr!$D$5:$BA$370,O$4-DATE(Einstellungen!$C$4,1,1)+1,(MATCH($B12,Einstellungen!$B$13:$B$17,0)-1)*10+1))</f>
        <v>S</v>
      </c>
      <c r="P12" s="41" t="str">
        <f aca="false">IF(OR(P$4="",$B12=""),"",INDEX(Jahr!$D$5:$BA$370,P$4-DATE(Einstellungen!$C$4,1,1)+1,(MATCH($B12,Einstellungen!$B$13:$B$17,0)-1)*10+1))</f>
        <v>N</v>
      </c>
      <c r="Q12" s="41" t="str">
        <f aca="false">IF(OR(Q$4="",$B12=""),"",INDEX(Jahr!$D$5:$BA$370,Q$4-DATE(Einstellungen!$C$4,1,1)+1,(MATCH($B12,Einstellungen!$B$13:$B$17,0)-1)*10+1))</f>
        <v>N</v>
      </c>
      <c r="R12" s="41" t="str">
        <f aca="false">IF(OR(R$4="",$B12=""),"",INDEX(Jahr!$D$5:$BA$370,R$4-DATE(Einstellungen!$C$4,1,1)+1,(MATCH($B12,Einstellungen!$B$13:$B$17,0)-1)*10+1))</f>
        <v>-</v>
      </c>
      <c r="S12" s="41" t="str">
        <f aca="false">IF(OR(S$4="",$B12=""),"",INDEX(Jahr!$D$5:$BA$370,S$4-DATE(Einstellungen!$C$4,1,1)+1,(MATCH($B12,Einstellungen!$B$13:$B$17,0)-1)*10+1))</f>
        <v>-</v>
      </c>
      <c r="T12" s="41" t="str">
        <f aca="false">IF(OR(T$4="",$B12=""),"",INDEX(Jahr!$D$5:$BA$370,T$4-DATE(Einstellungen!$C$4,1,1)+1,(MATCH($B12,Einstellungen!$B$13:$B$17,0)-1)*10+1))</f>
        <v>F</v>
      </c>
      <c r="U12" s="41" t="str">
        <f aca="false">IF(OR(U$4="",$B12=""),"",INDEX(Jahr!$D$5:$BA$370,U$4-DATE(Einstellungen!$C$4,1,1)+1,(MATCH($B12,Einstellungen!$B$13:$B$17,0)-1)*10+1))</f>
        <v>F</v>
      </c>
      <c r="V12" s="41" t="str">
        <f aca="false">IF(OR(V$4="",$B12=""),"",INDEX(Jahr!$D$5:$BA$370,V$4-DATE(Einstellungen!$C$4,1,1)+1,(MATCH($B12,Einstellungen!$B$13:$B$17,0)-1)*10+1))</f>
        <v>S</v>
      </c>
      <c r="W12" s="41" t="str">
        <f aca="false">IF(OR(W$4="",$B12=""),"",INDEX(Jahr!$D$5:$BA$370,W$4-DATE(Einstellungen!$C$4,1,1)+1,(MATCH($B12,Einstellungen!$B$13:$B$17,0)-1)*10+1))</f>
        <v>S</v>
      </c>
      <c r="X12" s="41" t="str">
        <f aca="false">IF(OR(X$4="",$B12=""),"",INDEX(Jahr!$D$5:$BA$370,X$4-DATE(Einstellungen!$C$4,1,1)+1,(MATCH($B12,Einstellungen!$B$13:$B$17,0)-1)*10+1))</f>
        <v>N</v>
      </c>
      <c r="Y12" s="41" t="str">
        <f aca="false">IF(OR(Y$4="",$B12=""),"",INDEX(Jahr!$D$5:$BA$370,Y$4-DATE(Einstellungen!$C$4,1,1)+1,(MATCH($B12,Einstellungen!$B$13:$B$17,0)-1)*10+1))</f>
        <v>N</v>
      </c>
      <c r="Z12" s="41" t="str">
        <f aca="false">IF(OR(Z$4="",$B12=""),"",INDEX(Jahr!$D$5:$BA$370,Z$4-DATE(Einstellungen!$C$4,1,1)+1,(MATCH($B12,Einstellungen!$B$13:$B$17,0)-1)*10+1))</f>
        <v>-</v>
      </c>
      <c r="AA12" s="41" t="str">
        <f aca="false">IF(OR(AA$4="",$B12=""),"",INDEX(Jahr!$D$5:$BA$370,AA$4-DATE(Einstellungen!$C$4,1,1)+1,(MATCH($B12,Einstellungen!$B$13:$B$17,0)-1)*10+1))</f>
        <v>-</v>
      </c>
      <c r="AB12" s="41" t="str">
        <f aca="false">IF(OR(AB$4="",$B12=""),"",INDEX(Jahr!$D$5:$BA$370,AB$4-DATE(Einstellungen!$C$4,1,1)+1,(MATCH($B12,Einstellungen!$B$13:$B$17,0)-1)*10+1))</f>
        <v>F</v>
      </c>
      <c r="AC12" s="41" t="str">
        <f aca="false">IF(OR(AC$4="",$B12=""),"",INDEX(Jahr!$D$5:$BA$370,AC$4-DATE(Einstellungen!$C$4,1,1)+1,(MATCH($B12,Einstellungen!$B$13:$B$17,0)-1)*10+1))</f>
        <v>F</v>
      </c>
      <c r="AD12" s="41" t="str">
        <f aca="false">IF(OR(AD$4="",$B12=""),"",INDEX(Jahr!$D$5:$BA$370,AD$4-DATE(Einstellungen!$C$4,1,1)+1,(MATCH($B12,Einstellungen!$B$13:$B$17,0)-1)*10+1))</f>
        <v>S</v>
      </c>
      <c r="AE12" s="41" t="str">
        <f aca="false">IF(OR(AE$4="",$B12=""),"",INDEX(Jahr!$D$5:$BA$370,AE$4-DATE(Einstellungen!$C$4,1,1)+1,(MATCH($B12,Einstellungen!$B$13:$B$17,0)-1)*10+1))</f>
        <v>S</v>
      </c>
      <c r="AF12" s="41" t="str">
        <f aca="false">IF(OR(AF$4="",$B12=""),"",INDEX(Jahr!$D$5:$BA$370,AF$4-DATE(Einstellungen!$C$4,1,1)+1,(MATCH($B12,Einstellungen!$B$13:$B$17,0)-1)*10+1))</f>
        <v>N</v>
      </c>
      <c r="AG12" s="41" t="str">
        <f aca="false">IF(OR(AG$4="",$B12=""),"",INDEX(Jahr!$D$5:$BA$370,AG$4-DATE(Einstellungen!$C$4,1,1)+1,(MATCH($B12,Einstellungen!$B$13:$B$17,0)-1)*10+1))</f>
        <v>N</v>
      </c>
      <c r="AH12" s="42" t="n">
        <f aca="false">IF($B12="","",SUMPRODUCT(--(SUMIF(Schichten!$A$5:$A$24,$C12:$AG12,Schichten!$F$5:$F$24)&gt;0)))</f>
        <v>24</v>
      </c>
      <c r="AI12" s="43" t="n">
        <f aca="false">IF($B12="","",SUMPRODUCT(SUMIF(Schichten!$A$5:$A$24,$C12:$AG12,Schichten!$F$5:$F$24)))</f>
        <v>192</v>
      </c>
      <c r="AJ12" s="42" t="n">
        <f aca="false">IF($B12="","",SUMPRODUCT(--(SUMIF(Schichten!$A$5:$A$24,$C12:$AG12,Schichten!$G$5:$G$24)&gt;0)))</f>
        <v>8</v>
      </c>
      <c r="AK12" s="44" t="n">
        <f aca="false">IF($B12="","",SUMPRODUCT(SUMIF(Schichten!$A$5:$A$24,$C12:$AG12,Schichten!$G$5:$G$24)))</f>
        <v>56</v>
      </c>
    </row>
    <row r="13" customFormat="false" ht="15" hidden="false" customHeight="false" outlineLevel="0" collapsed="false">
      <c r="A13" s="40" t="s">
        <v>134</v>
      </c>
      <c r="B13" s="15" t="s">
        <v>40</v>
      </c>
      <c r="C13" s="41" t="str">
        <f aca="false">IF(OR(C$4="",$B13=""),"",INDEX(Jahr!$D$5:$BA$370,C$4-DATE(Einstellungen!$C$4,1,1)+1,(MATCH($B13,Einstellungen!$B$13:$B$17,0)-1)*10+1))</f>
        <v>-</v>
      </c>
      <c r="D13" s="41" t="str">
        <f aca="false">IF(OR(D$4="",$B13=""),"",INDEX(Jahr!$D$5:$BA$370,D$4-DATE(Einstellungen!$C$4,1,1)+1,(MATCH($B13,Einstellungen!$B$13:$B$17,0)-1)*10+1))</f>
        <v>F</v>
      </c>
      <c r="E13" s="41" t="str">
        <f aca="false">IF(OR(E$4="",$B13=""),"",INDEX(Jahr!$D$5:$BA$370,E$4-DATE(Einstellungen!$C$4,1,1)+1,(MATCH($B13,Einstellungen!$B$13:$B$17,0)-1)*10+1))</f>
        <v>F</v>
      </c>
      <c r="F13" s="41" t="str">
        <f aca="false">IF(OR(F$4="",$B13=""),"",INDEX(Jahr!$D$5:$BA$370,F$4-DATE(Einstellungen!$C$4,1,1)+1,(MATCH($B13,Einstellungen!$B$13:$B$17,0)-1)*10+1))</f>
        <v>S</v>
      </c>
      <c r="G13" s="41" t="str">
        <f aca="false">IF(OR(G$4="",$B13=""),"",INDEX(Jahr!$D$5:$BA$370,G$4-DATE(Einstellungen!$C$4,1,1)+1,(MATCH($B13,Einstellungen!$B$13:$B$17,0)-1)*10+1))</f>
        <v>S</v>
      </c>
      <c r="H13" s="41" t="str">
        <f aca="false">IF(OR(H$4="",$B13=""),"",INDEX(Jahr!$D$5:$BA$370,H$4-DATE(Einstellungen!$C$4,1,1)+1,(MATCH($B13,Einstellungen!$B$13:$B$17,0)-1)*10+1))</f>
        <v>N</v>
      </c>
      <c r="I13" s="41" t="str">
        <f aca="false">IF(OR(I$4="",$B13=""),"",INDEX(Jahr!$D$5:$BA$370,I$4-DATE(Einstellungen!$C$4,1,1)+1,(MATCH($B13,Einstellungen!$B$13:$B$17,0)-1)*10+1))</f>
        <v>N</v>
      </c>
      <c r="J13" s="41" t="str">
        <f aca="false">IF(OR(J$4="",$B13=""),"",INDEX(Jahr!$D$5:$BA$370,J$4-DATE(Einstellungen!$C$4,1,1)+1,(MATCH($B13,Einstellungen!$B$13:$B$17,0)-1)*10+1))</f>
        <v>-</v>
      </c>
      <c r="K13" s="41" t="str">
        <f aca="false">IF(OR(K$4="",$B13=""),"",INDEX(Jahr!$D$5:$BA$370,K$4-DATE(Einstellungen!$C$4,1,1)+1,(MATCH($B13,Einstellungen!$B$13:$B$17,0)-1)*10+1))</f>
        <v>-</v>
      </c>
      <c r="L13" s="41" t="str">
        <f aca="false">IF(OR(L$4="",$B13=""),"",INDEX(Jahr!$D$5:$BA$370,L$4-DATE(Einstellungen!$C$4,1,1)+1,(MATCH($B13,Einstellungen!$B$13:$B$17,0)-1)*10+1))</f>
        <v>F</v>
      </c>
      <c r="M13" s="41" t="str">
        <f aca="false">IF(OR(M$4="",$B13=""),"",INDEX(Jahr!$D$5:$BA$370,M$4-DATE(Einstellungen!$C$4,1,1)+1,(MATCH($B13,Einstellungen!$B$13:$B$17,0)-1)*10+1))</f>
        <v>F</v>
      </c>
      <c r="N13" s="41" t="str">
        <f aca="false">IF(OR(N$4="",$B13=""),"",INDEX(Jahr!$D$5:$BA$370,N$4-DATE(Einstellungen!$C$4,1,1)+1,(MATCH($B13,Einstellungen!$B$13:$B$17,0)-1)*10+1))</f>
        <v>S</v>
      </c>
      <c r="O13" s="41" t="str">
        <f aca="false">IF(OR(O$4="",$B13=""),"",INDEX(Jahr!$D$5:$BA$370,O$4-DATE(Einstellungen!$C$4,1,1)+1,(MATCH($B13,Einstellungen!$B$13:$B$17,0)-1)*10+1))</f>
        <v>S</v>
      </c>
      <c r="P13" s="41" t="str">
        <f aca="false">IF(OR(P$4="",$B13=""),"",INDEX(Jahr!$D$5:$BA$370,P$4-DATE(Einstellungen!$C$4,1,1)+1,(MATCH($B13,Einstellungen!$B$13:$B$17,0)-1)*10+1))</f>
        <v>N</v>
      </c>
      <c r="Q13" s="41" t="str">
        <f aca="false">IF(OR(Q$4="",$B13=""),"",INDEX(Jahr!$D$5:$BA$370,Q$4-DATE(Einstellungen!$C$4,1,1)+1,(MATCH($B13,Einstellungen!$B$13:$B$17,0)-1)*10+1))</f>
        <v>N</v>
      </c>
      <c r="R13" s="41" t="str">
        <f aca="false">IF(OR(R$4="",$B13=""),"",INDEX(Jahr!$D$5:$BA$370,R$4-DATE(Einstellungen!$C$4,1,1)+1,(MATCH($B13,Einstellungen!$B$13:$B$17,0)-1)*10+1))</f>
        <v>-</v>
      </c>
      <c r="S13" s="41" t="str">
        <f aca="false">IF(OR(S$4="",$B13=""),"",INDEX(Jahr!$D$5:$BA$370,S$4-DATE(Einstellungen!$C$4,1,1)+1,(MATCH($B13,Einstellungen!$B$13:$B$17,0)-1)*10+1))</f>
        <v>-</v>
      </c>
      <c r="T13" s="41" t="str">
        <f aca="false">IF(OR(T$4="",$B13=""),"",INDEX(Jahr!$D$5:$BA$370,T$4-DATE(Einstellungen!$C$4,1,1)+1,(MATCH($B13,Einstellungen!$B$13:$B$17,0)-1)*10+1))</f>
        <v>F</v>
      </c>
      <c r="U13" s="41" t="str">
        <f aca="false">IF(OR(U$4="",$B13=""),"",INDEX(Jahr!$D$5:$BA$370,U$4-DATE(Einstellungen!$C$4,1,1)+1,(MATCH($B13,Einstellungen!$B$13:$B$17,0)-1)*10+1))</f>
        <v>F</v>
      </c>
      <c r="V13" s="41" t="str">
        <f aca="false">IF(OR(V$4="",$B13=""),"",INDEX(Jahr!$D$5:$BA$370,V$4-DATE(Einstellungen!$C$4,1,1)+1,(MATCH($B13,Einstellungen!$B$13:$B$17,0)-1)*10+1))</f>
        <v>S</v>
      </c>
      <c r="W13" s="41" t="str">
        <f aca="false">IF(OR(W$4="",$B13=""),"",INDEX(Jahr!$D$5:$BA$370,W$4-DATE(Einstellungen!$C$4,1,1)+1,(MATCH($B13,Einstellungen!$B$13:$B$17,0)-1)*10+1))</f>
        <v>S</v>
      </c>
      <c r="X13" s="41" t="str">
        <f aca="false">IF(OR(X$4="",$B13=""),"",INDEX(Jahr!$D$5:$BA$370,X$4-DATE(Einstellungen!$C$4,1,1)+1,(MATCH($B13,Einstellungen!$B$13:$B$17,0)-1)*10+1))</f>
        <v>N</v>
      </c>
      <c r="Y13" s="41" t="str">
        <f aca="false">IF(OR(Y$4="",$B13=""),"",INDEX(Jahr!$D$5:$BA$370,Y$4-DATE(Einstellungen!$C$4,1,1)+1,(MATCH($B13,Einstellungen!$B$13:$B$17,0)-1)*10+1))</f>
        <v>N</v>
      </c>
      <c r="Z13" s="41" t="str">
        <f aca="false">IF(OR(Z$4="",$B13=""),"",INDEX(Jahr!$D$5:$BA$370,Z$4-DATE(Einstellungen!$C$4,1,1)+1,(MATCH($B13,Einstellungen!$B$13:$B$17,0)-1)*10+1))</f>
        <v>-</v>
      </c>
      <c r="AA13" s="41" t="str">
        <f aca="false">IF(OR(AA$4="",$B13=""),"",INDEX(Jahr!$D$5:$BA$370,AA$4-DATE(Einstellungen!$C$4,1,1)+1,(MATCH($B13,Einstellungen!$B$13:$B$17,0)-1)*10+1))</f>
        <v>-</v>
      </c>
      <c r="AB13" s="41" t="str">
        <f aca="false">IF(OR(AB$4="",$B13=""),"",INDEX(Jahr!$D$5:$BA$370,AB$4-DATE(Einstellungen!$C$4,1,1)+1,(MATCH($B13,Einstellungen!$B$13:$B$17,0)-1)*10+1))</f>
        <v>F</v>
      </c>
      <c r="AC13" s="41" t="str">
        <f aca="false">IF(OR(AC$4="",$B13=""),"",INDEX(Jahr!$D$5:$BA$370,AC$4-DATE(Einstellungen!$C$4,1,1)+1,(MATCH($B13,Einstellungen!$B$13:$B$17,0)-1)*10+1))</f>
        <v>F</v>
      </c>
      <c r="AD13" s="41" t="str">
        <f aca="false">IF(OR(AD$4="",$B13=""),"",INDEX(Jahr!$D$5:$BA$370,AD$4-DATE(Einstellungen!$C$4,1,1)+1,(MATCH($B13,Einstellungen!$B$13:$B$17,0)-1)*10+1))</f>
        <v>S</v>
      </c>
      <c r="AE13" s="41" t="str">
        <f aca="false">IF(OR(AE$4="",$B13=""),"",INDEX(Jahr!$D$5:$BA$370,AE$4-DATE(Einstellungen!$C$4,1,1)+1,(MATCH($B13,Einstellungen!$B$13:$B$17,0)-1)*10+1))</f>
        <v>S</v>
      </c>
      <c r="AF13" s="41" t="str">
        <f aca="false">IF(OR(AF$4="",$B13=""),"",INDEX(Jahr!$D$5:$BA$370,AF$4-DATE(Einstellungen!$C$4,1,1)+1,(MATCH($B13,Einstellungen!$B$13:$B$17,0)-1)*10+1))</f>
        <v>N</v>
      </c>
      <c r="AG13" s="41" t="str">
        <f aca="false">IF(OR(AG$4="",$B13=""),"",INDEX(Jahr!$D$5:$BA$370,AG$4-DATE(Einstellungen!$C$4,1,1)+1,(MATCH($B13,Einstellungen!$B$13:$B$17,0)-1)*10+1))</f>
        <v>N</v>
      </c>
      <c r="AH13" s="42" t="n">
        <f aca="false">IF($B13="","",SUMPRODUCT(--(SUMIF(Schichten!$A$5:$A$24,$C13:$AG13,Schichten!$F$5:$F$24)&gt;0)))</f>
        <v>24</v>
      </c>
      <c r="AI13" s="43" t="n">
        <f aca="false">IF($B13="","",SUMPRODUCT(SUMIF(Schichten!$A$5:$A$24,$C13:$AG13,Schichten!$F$5:$F$24)))</f>
        <v>192</v>
      </c>
      <c r="AJ13" s="42" t="n">
        <f aca="false">IF($B13="","",SUMPRODUCT(--(SUMIF(Schichten!$A$5:$A$24,$C13:$AG13,Schichten!$G$5:$G$24)&gt;0)))</f>
        <v>8</v>
      </c>
      <c r="AK13" s="44" t="n">
        <f aca="false">IF($B13="","",SUMPRODUCT(SUMIF(Schichten!$A$5:$A$24,$C13:$AG13,Schichten!$G$5:$G$24)))</f>
        <v>56</v>
      </c>
    </row>
    <row r="14" customFormat="false" ht="15" hidden="false" customHeight="false" outlineLevel="0" collapsed="false">
      <c r="A14" s="40"/>
      <c r="B14" s="15"/>
      <c r="C14" s="41" t="str">
        <f aca="false">IF(OR(C$4="",$B14=""),"",INDEX(Jahr!$D$5:$BA$370,C$4-DATE(Einstellungen!$C$4,1,1)+1,(MATCH($B14,Einstellungen!$B$13:$B$17,0)-1)*10+1))</f>
        <v/>
      </c>
      <c r="D14" s="41" t="str">
        <f aca="false">IF(OR(D$4="",$B14=""),"",INDEX(Jahr!$D$5:$BA$370,D$4-DATE(Einstellungen!$C$4,1,1)+1,(MATCH($B14,Einstellungen!$B$13:$B$17,0)-1)*10+1))</f>
        <v/>
      </c>
      <c r="E14" s="41" t="str">
        <f aca="false">IF(OR(E$4="",$B14=""),"",INDEX(Jahr!$D$5:$BA$370,E$4-DATE(Einstellungen!$C$4,1,1)+1,(MATCH($B14,Einstellungen!$B$13:$B$17,0)-1)*10+1))</f>
        <v/>
      </c>
      <c r="F14" s="41" t="str">
        <f aca="false">IF(OR(F$4="",$B14=""),"",INDEX(Jahr!$D$5:$BA$370,F$4-DATE(Einstellungen!$C$4,1,1)+1,(MATCH($B14,Einstellungen!$B$13:$B$17,0)-1)*10+1))</f>
        <v/>
      </c>
      <c r="G14" s="41" t="str">
        <f aca="false">IF(OR(G$4="",$B14=""),"",INDEX(Jahr!$D$5:$BA$370,G$4-DATE(Einstellungen!$C$4,1,1)+1,(MATCH($B14,Einstellungen!$B$13:$B$17,0)-1)*10+1))</f>
        <v/>
      </c>
      <c r="H14" s="41" t="str">
        <f aca="false">IF(OR(H$4="",$B14=""),"",INDEX(Jahr!$D$5:$BA$370,H$4-DATE(Einstellungen!$C$4,1,1)+1,(MATCH($B14,Einstellungen!$B$13:$B$17,0)-1)*10+1))</f>
        <v/>
      </c>
      <c r="I14" s="41" t="str">
        <f aca="false">IF(OR(I$4="",$B14=""),"",INDEX(Jahr!$D$5:$BA$370,I$4-DATE(Einstellungen!$C$4,1,1)+1,(MATCH($B14,Einstellungen!$B$13:$B$17,0)-1)*10+1))</f>
        <v/>
      </c>
      <c r="J14" s="41" t="str">
        <f aca="false">IF(OR(J$4="",$B14=""),"",INDEX(Jahr!$D$5:$BA$370,J$4-DATE(Einstellungen!$C$4,1,1)+1,(MATCH($B14,Einstellungen!$B$13:$B$17,0)-1)*10+1))</f>
        <v/>
      </c>
      <c r="K14" s="41" t="str">
        <f aca="false">IF(OR(K$4="",$B14=""),"",INDEX(Jahr!$D$5:$BA$370,K$4-DATE(Einstellungen!$C$4,1,1)+1,(MATCH($B14,Einstellungen!$B$13:$B$17,0)-1)*10+1))</f>
        <v/>
      </c>
      <c r="L14" s="41" t="str">
        <f aca="false">IF(OR(L$4="",$B14=""),"",INDEX(Jahr!$D$5:$BA$370,L$4-DATE(Einstellungen!$C$4,1,1)+1,(MATCH($B14,Einstellungen!$B$13:$B$17,0)-1)*10+1))</f>
        <v/>
      </c>
      <c r="M14" s="41" t="str">
        <f aca="false">IF(OR(M$4="",$B14=""),"",INDEX(Jahr!$D$5:$BA$370,M$4-DATE(Einstellungen!$C$4,1,1)+1,(MATCH($B14,Einstellungen!$B$13:$B$17,0)-1)*10+1))</f>
        <v/>
      </c>
      <c r="N14" s="41" t="str">
        <f aca="false">IF(OR(N$4="",$B14=""),"",INDEX(Jahr!$D$5:$BA$370,N$4-DATE(Einstellungen!$C$4,1,1)+1,(MATCH($B14,Einstellungen!$B$13:$B$17,0)-1)*10+1))</f>
        <v/>
      </c>
      <c r="O14" s="41" t="str">
        <f aca="false">IF(OR(O$4="",$B14=""),"",INDEX(Jahr!$D$5:$BA$370,O$4-DATE(Einstellungen!$C$4,1,1)+1,(MATCH($B14,Einstellungen!$B$13:$B$17,0)-1)*10+1))</f>
        <v/>
      </c>
      <c r="P14" s="41" t="str">
        <f aca="false">IF(OR(P$4="",$B14=""),"",INDEX(Jahr!$D$5:$BA$370,P$4-DATE(Einstellungen!$C$4,1,1)+1,(MATCH($B14,Einstellungen!$B$13:$B$17,0)-1)*10+1))</f>
        <v/>
      </c>
      <c r="Q14" s="41" t="str">
        <f aca="false">IF(OR(Q$4="",$B14=""),"",INDEX(Jahr!$D$5:$BA$370,Q$4-DATE(Einstellungen!$C$4,1,1)+1,(MATCH($B14,Einstellungen!$B$13:$B$17,0)-1)*10+1))</f>
        <v/>
      </c>
      <c r="R14" s="41" t="str">
        <f aca="false">IF(OR(R$4="",$B14=""),"",INDEX(Jahr!$D$5:$BA$370,R$4-DATE(Einstellungen!$C$4,1,1)+1,(MATCH($B14,Einstellungen!$B$13:$B$17,0)-1)*10+1))</f>
        <v/>
      </c>
      <c r="S14" s="41" t="str">
        <f aca="false">IF(OR(S$4="",$B14=""),"",INDEX(Jahr!$D$5:$BA$370,S$4-DATE(Einstellungen!$C$4,1,1)+1,(MATCH($B14,Einstellungen!$B$13:$B$17,0)-1)*10+1))</f>
        <v/>
      </c>
      <c r="T14" s="41" t="str">
        <f aca="false">IF(OR(T$4="",$B14=""),"",INDEX(Jahr!$D$5:$BA$370,T$4-DATE(Einstellungen!$C$4,1,1)+1,(MATCH($B14,Einstellungen!$B$13:$B$17,0)-1)*10+1))</f>
        <v/>
      </c>
      <c r="U14" s="41" t="str">
        <f aca="false">IF(OR(U$4="",$B14=""),"",INDEX(Jahr!$D$5:$BA$370,U$4-DATE(Einstellungen!$C$4,1,1)+1,(MATCH($B14,Einstellungen!$B$13:$B$17,0)-1)*10+1))</f>
        <v/>
      </c>
      <c r="V14" s="41" t="str">
        <f aca="false">IF(OR(V$4="",$B14=""),"",INDEX(Jahr!$D$5:$BA$370,V$4-DATE(Einstellungen!$C$4,1,1)+1,(MATCH($B14,Einstellungen!$B$13:$B$17,0)-1)*10+1))</f>
        <v/>
      </c>
      <c r="W14" s="41" t="str">
        <f aca="false">IF(OR(W$4="",$B14=""),"",INDEX(Jahr!$D$5:$BA$370,W$4-DATE(Einstellungen!$C$4,1,1)+1,(MATCH($B14,Einstellungen!$B$13:$B$17,0)-1)*10+1))</f>
        <v/>
      </c>
      <c r="X14" s="41" t="str">
        <f aca="false">IF(OR(X$4="",$B14=""),"",INDEX(Jahr!$D$5:$BA$370,X$4-DATE(Einstellungen!$C$4,1,1)+1,(MATCH($B14,Einstellungen!$B$13:$B$17,0)-1)*10+1))</f>
        <v/>
      </c>
      <c r="Y14" s="41" t="str">
        <f aca="false">IF(OR(Y$4="",$B14=""),"",INDEX(Jahr!$D$5:$BA$370,Y$4-DATE(Einstellungen!$C$4,1,1)+1,(MATCH($B14,Einstellungen!$B$13:$B$17,0)-1)*10+1))</f>
        <v/>
      </c>
      <c r="Z14" s="41" t="str">
        <f aca="false">IF(OR(Z$4="",$B14=""),"",INDEX(Jahr!$D$5:$BA$370,Z$4-DATE(Einstellungen!$C$4,1,1)+1,(MATCH($B14,Einstellungen!$B$13:$B$17,0)-1)*10+1))</f>
        <v/>
      </c>
      <c r="AA14" s="41" t="str">
        <f aca="false">IF(OR(AA$4="",$B14=""),"",INDEX(Jahr!$D$5:$BA$370,AA$4-DATE(Einstellungen!$C$4,1,1)+1,(MATCH($B14,Einstellungen!$B$13:$B$17,0)-1)*10+1))</f>
        <v/>
      </c>
      <c r="AB14" s="41" t="str">
        <f aca="false">IF(OR(AB$4="",$B14=""),"",INDEX(Jahr!$D$5:$BA$370,AB$4-DATE(Einstellungen!$C$4,1,1)+1,(MATCH($B14,Einstellungen!$B$13:$B$17,0)-1)*10+1))</f>
        <v/>
      </c>
      <c r="AC14" s="41" t="str">
        <f aca="false">IF(OR(AC$4="",$B14=""),"",INDEX(Jahr!$D$5:$BA$370,AC$4-DATE(Einstellungen!$C$4,1,1)+1,(MATCH($B14,Einstellungen!$B$13:$B$17,0)-1)*10+1))</f>
        <v/>
      </c>
      <c r="AD14" s="41" t="str">
        <f aca="false">IF(OR(AD$4="",$B14=""),"",INDEX(Jahr!$D$5:$BA$370,AD$4-DATE(Einstellungen!$C$4,1,1)+1,(MATCH($B14,Einstellungen!$B$13:$B$17,0)-1)*10+1))</f>
        <v/>
      </c>
      <c r="AE14" s="41" t="str">
        <f aca="false">IF(OR(AE$4="",$B14=""),"",INDEX(Jahr!$D$5:$BA$370,AE$4-DATE(Einstellungen!$C$4,1,1)+1,(MATCH($B14,Einstellungen!$B$13:$B$17,0)-1)*10+1))</f>
        <v/>
      </c>
      <c r="AF14" s="41" t="str">
        <f aca="false">IF(OR(AF$4="",$B14=""),"",INDEX(Jahr!$D$5:$BA$370,AF$4-DATE(Einstellungen!$C$4,1,1)+1,(MATCH($B14,Einstellungen!$B$13:$B$17,0)-1)*10+1))</f>
        <v/>
      </c>
      <c r="AG14" s="41" t="str">
        <f aca="false">IF(OR(AG$4="",$B14=""),"",INDEX(Jahr!$D$5:$BA$370,AG$4-DATE(Einstellungen!$C$4,1,1)+1,(MATCH($B14,Einstellungen!$B$13:$B$17,0)-1)*10+1))</f>
        <v/>
      </c>
      <c r="AH14" s="42" t="str">
        <f aca="false">IF($B14="","",SUMPRODUCT(--(SUMIF(Schichten!$A$5:$A$24,$C14:$AG14,Schichten!$F$5:$F$24)&gt;0)))</f>
        <v/>
      </c>
      <c r="AI14" s="43" t="str">
        <f aca="false">IF($B14="","",SUMPRODUCT(SUMIF(Schichten!$A$5:$A$24,$C14:$AG14,Schichten!$F$5:$F$24)))</f>
        <v/>
      </c>
      <c r="AJ14" s="42" t="str">
        <f aca="false">IF($B14="","",SUMPRODUCT(--(SUMIF(Schichten!$A$5:$A$24,$C14:$AG14,Schichten!$G$5:$G$24)&gt;0)))</f>
        <v/>
      </c>
      <c r="AK14" s="44" t="str">
        <f aca="false">IF($B14="","",SUMPRODUCT(SUMIF(Schichten!$A$5:$A$24,$C14:$AG14,Schichten!$G$5:$G$24)))</f>
        <v/>
      </c>
    </row>
    <row r="15" customFormat="false" ht="15" hidden="false" customHeight="false" outlineLevel="0" collapsed="false">
      <c r="A15" s="40"/>
      <c r="B15" s="15"/>
      <c r="C15" s="41" t="str">
        <f aca="false">IF(OR(C$4="",$B15=""),"",INDEX(Jahr!$D$5:$BA$370,C$4-DATE(Einstellungen!$C$4,1,1)+1,(MATCH($B15,Einstellungen!$B$13:$B$17,0)-1)*10+1))</f>
        <v/>
      </c>
      <c r="D15" s="41" t="str">
        <f aca="false">IF(OR(D$4="",$B15=""),"",INDEX(Jahr!$D$5:$BA$370,D$4-DATE(Einstellungen!$C$4,1,1)+1,(MATCH($B15,Einstellungen!$B$13:$B$17,0)-1)*10+1))</f>
        <v/>
      </c>
      <c r="E15" s="41" t="str">
        <f aca="false">IF(OR(E$4="",$B15=""),"",INDEX(Jahr!$D$5:$BA$370,E$4-DATE(Einstellungen!$C$4,1,1)+1,(MATCH($B15,Einstellungen!$B$13:$B$17,0)-1)*10+1))</f>
        <v/>
      </c>
      <c r="F15" s="41" t="str">
        <f aca="false">IF(OR(F$4="",$B15=""),"",INDEX(Jahr!$D$5:$BA$370,F$4-DATE(Einstellungen!$C$4,1,1)+1,(MATCH($B15,Einstellungen!$B$13:$B$17,0)-1)*10+1))</f>
        <v/>
      </c>
      <c r="G15" s="41" t="str">
        <f aca="false">IF(OR(G$4="",$B15=""),"",INDEX(Jahr!$D$5:$BA$370,G$4-DATE(Einstellungen!$C$4,1,1)+1,(MATCH($B15,Einstellungen!$B$13:$B$17,0)-1)*10+1))</f>
        <v/>
      </c>
      <c r="H15" s="41" t="str">
        <f aca="false">IF(OR(H$4="",$B15=""),"",INDEX(Jahr!$D$5:$BA$370,H$4-DATE(Einstellungen!$C$4,1,1)+1,(MATCH($B15,Einstellungen!$B$13:$B$17,0)-1)*10+1))</f>
        <v/>
      </c>
      <c r="I15" s="41" t="str">
        <f aca="false">IF(OR(I$4="",$B15=""),"",INDEX(Jahr!$D$5:$BA$370,I$4-DATE(Einstellungen!$C$4,1,1)+1,(MATCH($B15,Einstellungen!$B$13:$B$17,0)-1)*10+1))</f>
        <v/>
      </c>
      <c r="J15" s="41" t="str">
        <f aca="false">IF(OR(J$4="",$B15=""),"",INDEX(Jahr!$D$5:$BA$370,J$4-DATE(Einstellungen!$C$4,1,1)+1,(MATCH($B15,Einstellungen!$B$13:$B$17,0)-1)*10+1))</f>
        <v/>
      </c>
      <c r="K15" s="41" t="str">
        <f aca="false">IF(OR(K$4="",$B15=""),"",INDEX(Jahr!$D$5:$BA$370,K$4-DATE(Einstellungen!$C$4,1,1)+1,(MATCH($B15,Einstellungen!$B$13:$B$17,0)-1)*10+1))</f>
        <v/>
      </c>
      <c r="L15" s="41" t="str">
        <f aca="false">IF(OR(L$4="",$B15=""),"",INDEX(Jahr!$D$5:$BA$370,L$4-DATE(Einstellungen!$C$4,1,1)+1,(MATCH($B15,Einstellungen!$B$13:$B$17,0)-1)*10+1))</f>
        <v/>
      </c>
      <c r="M15" s="41" t="str">
        <f aca="false">IF(OR(M$4="",$B15=""),"",INDEX(Jahr!$D$5:$BA$370,M$4-DATE(Einstellungen!$C$4,1,1)+1,(MATCH($B15,Einstellungen!$B$13:$B$17,0)-1)*10+1))</f>
        <v/>
      </c>
      <c r="N15" s="41" t="str">
        <f aca="false">IF(OR(N$4="",$B15=""),"",INDEX(Jahr!$D$5:$BA$370,N$4-DATE(Einstellungen!$C$4,1,1)+1,(MATCH($B15,Einstellungen!$B$13:$B$17,0)-1)*10+1))</f>
        <v/>
      </c>
      <c r="O15" s="41" t="str">
        <f aca="false">IF(OR(O$4="",$B15=""),"",INDEX(Jahr!$D$5:$BA$370,O$4-DATE(Einstellungen!$C$4,1,1)+1,(MATCH($B15,Einstellungen!$B$13:$B$17,0)-1)*10+1))</f>
        <v/>
      </c>
      <c r="P15" s="41" t="str">
        <f aca="false">IF(OR(P$4="",$B15=""),"",INDEX(Jahr!$D$5:$BA$370,P$4-DATE(Einstellungen!$C$4,1,1)+1,(MATCH($B15,Einstellungen!$B$13:$B$17,0)-1)*10+1))</f>
        <v/>
      </c>
      <c r="Q15" s="41" t="str">
        <f aca="false">IF(OR(Q$4="",$B15=""),"",INDEX(Jahr!$D$5:$BA$370,Q$4-DATE(Einstellungen!$C$4,1,1)+1,(MATCH($B15,Einstellungen!$B$13:$B$17,0)-1)*10+1))</f>
        <v/>
      </c>
      <c r="R15" s="41" t="str">
        <f aca="false">IF(OR(R$4="",$B15=""),"",INDEX(Jahr!$D$5:$BA$370,R$4-DATE(Einstellungen!$C$4,1,1)+1,(MATCH($B15,Einstellungen!$B$13:$B$17,0)-1)*10+1))</f>
        <v/>
      </c>
      <c r="S15" s="41" t="str">
        <f aca="false">IF(OR(S$4="",$B15=""),"",INDEX(Jahr!$D$5:$BA$370,S$4-DATE(Einstellungen!$C$4,1,1)+1,(MATCH($B15,Einstellungen!$B$13:$B$17,0)-1)*10+1))</f>
        <v/>
      </c>
      <c r="T15" s="41" t="str">
        <f aca="false">IF(OR(T$4="",$B15=""),"",INDEX(Jahr!$D$5:$BA$370,T$4-DATE(Einstellungen!$C$4,1,1)+1,(MATCH($B15,Einstellungen!$B$13:$B$17,0)-1)*10+1))</f>
        <v/>
      </c>
      <c r="U15" s="41" t="str">
        <f aca="false">IF(OR(U$4="",$B15=""),"",INDEX(Jahr!$D$5:$BA$370,U$4-DATE(Einstellungen!$C$4,1,1)+1,(MATCH($B15,Einstellungen!$B$13:$B$17,0)-1)*10+1))</f>
        <v/>
      </c>
      <c r="V15" s="41" t="str">
        <f aca="false">IF(OR(V$4="",$B15=""),"",INDEX(Jahr!$D$5:$BA$370,V$4-DATE(Einstellungen!$C$4,1,1)+1,(MATCH($B15,Einstellungen!$B$13:$B$17,0)-1)*10+1))</f>
        <v/>
      </c>
      <c r="W15" s="41" t="str">
        <f aca="false">IF(OR(W$4="",$B15=""),"",INDEX(Jahr!$D$5:$BA$370,W$4-DATE(Einstellungen!$C$4,1,1)+1,(MATCH($B15,Einstellungen!$B$13:$B$17,0)-1)*10+1))</f>
        <v/>
      </c>
      <c r="X15" s="41" t="str">
        <f aca="false">IF(OR(X$4="",$B15=""),"",INDEX(Jahr!$D$5:$BA$370,X$4-DATE(Einstellungen!$C$4,1,1)+1,(MATCH($B15,Einstellungen!$B$13:$B$17,0)-1)*10+1))</f>
        <v/>
      </c>
      <c r="Y15" s="41" t="str">
        <f aca="false">IF(OR(Y$4="",$B15=""),"",INDEX(Jahr!$D$5:$BA$370,Y$4-DATE(Einstellungen!$C$4,1,1)+1,(MATCH($B15,Einstellungen!$B$13:$B$17,0)-1)*10+1))</f>
        <v/>
      </c>
      <c r="Z15" s="41" t="str">
        <f aca="false">IF(OR(Z$4="",$B15=""),"",INDEX(Jahr!$D$5:$BA$370,Z$4-DATE(Einstellungen!$C$4,1,1)+1,(MATCH($B15,Einstellungen!$B$13:$B$17,0)-1)*10+1))</f>
        <v/>
      </c>
      <c r="AA15" s="41" t="str">
        <f aca="false">IF(OR(AA$4="",$B15=""),"",INDEX(Jahr!$D$5:$BA$370,AA$4-DATE(Einstellungen!$C$4,1,1)+1,(MATCH($B15,Einstellungen!$B$13:$B$17,0)-1)*10+1))</f>
        <v/>
      </c>
      <c r="AB15" s="41" t="str">
        <f aca="false">IF(OR(AB$4="",$B15=""),"",INDEX(Jahr!$D$5:$BA$370,AB$4-DATE(Einstellungen!$C$4,1,1)+1,(MATCH($B15,Einstellungen!$B$13:$B$17,0)-1)*10+1))</f>
        <v/>
      </c>
      <c r="AC15" s="41" t="str">
        <f aca="false">IF(OR(AC$4="",$B15=""),"",INDEX(Jahr!$D$5:$BA$370,AC$4-DATE(Einstellungen!$C$4,1,1)+1,(MATCH($B15,Einstellungen!$B$13:$B$17,0)-1)*10+1))</f>
        <v/>
      </c>
      <c r="AD15" s="41" t="str">
        <f aca="false">IF(OR(AD$4="",$B15=""),"",INDEX(Jahr!$D$5:$BA$370,AD$4-DATE(Einstellungen!$C$4,1,1)+1,(MATCH($B15,Einstellungen!$B$13:$B$17,0)-1)*10+1))</f>
        <v/>
      </c>
      <c r="AE15" s="41" t="str">
        <f aca="false">IF(OR(AE$4="",$B15=""),"",INDEX(Jahr!$D$5:$BA$370,AE$4-DATE(Einstellungen!$C$4,1,1)+1,(MATCH($B15,Einstellungen!$B$13:$B$17,0)-1)*10+1))</f>
        <v/>
      </c>
      <c r="AF15" s="41" t="str">
        <f aca="false">IF(OR(AF$4="",$B15=""),"",INDEX(Jahr!$D$5:$BA$370,AF$4-DATE(Einstellungen!$C$4,1,1)+1,(MATCH($B15,Einstellungen!$B$13:$B$17,0)-1)*10+1))</f>
        <v/>
      </c>
      <c r="AG15" s="41" t="str">
        <f aca="false">IF(OR(AG$4="",$B15=""),"",INDEX(Jahr!$D$5:$BA$370,AG$4-DATE(Einstellungen!$C$4,1,1)+1,(MATCH($B15,Einstellungen!$B$13:$B$17,0)-1)*10+1))</f>
        <v/>
      </c>
      <c r="AH15" s="42" t="str">
        <f aca="false">IF($B15="","",SUMPRODUCT(--(SUMIF(Schichten!$A$5:$A$24,$C15:$AG15,Schichten!$F$5:$F$24)&gt;0)))</f>
        <v/>
      </c>
      <c r="AI15" s="43" t="str">
        <f aca="false">IF($B15="","",SUMPRODUCT(SUMIF(Schichten!$A$5:$A$24,$C15:$AG15,Schichten!$F$5:$F$24)))</f>
        <v/>
      </c>
      <c r="AJ15" s="42" t="str">
        <f aca="false">IF($B15="","",SUMPRODUCT(--(SUMIF(Schichten!$A$5:$A$24,$C15:$AG15,Schichten!$G$5:$G$24)&gt;0)))</f>
        <v/>
      </c>
      <c r="AK15" s="44" t="str">
        <f aca="false">IF($B15="","",SUMPRODUCT(SUMIF(Schichten!$A$5:$A$24,$C15:$AG15,Schichten!$G$5:$G$24)))</f>
        <v/>
      </c>
    </row>
    <row r="16" customFormat="false" ht="15" hidden="false" customHeight="false" outlineLevel="0" collapsed="false">
      <c r="A16" s="40"/>
      <c r="B16" s="15"/>
      <c r="C16" s="41" t="str">
        <f aca="false">IF(OR(C$4="",$B16=""),"",INDEX(Jahr!$D$5:$BA$370,C$4-DATE(Einstellungen!$C$4,1,1)+1,(MATCH($B16,Einstellungen!$B$13:$B$17,0)-1)*10+1))</f>
        <v/>
      </c>
      <c r="D16" s="41" t="str">
        <f aca="false">IF(OR(D$4="",$B16=""),"",INDEX(Jahr!$D$5:$BA$370,D$4-DATE(Einstellungen!$C$4,1,1)+1,(MATCH($B16,Einstellungen!$B$13:$B$17,0)-1)*10+1))</f>
        <v/>
      </c>
      <c r="E16" s="41" t="str">
        <f aca="false">IF(OR(E$4="",$B16=""),"",INDEX(Jahr!$D$5:$BA$370,E$4-DATE(Einstellungen!$C$4,1,1)+1,(MATCH($B16,Einstellungen!$B$13:$B$17,0)-1)*10+1))</f>
        <v/>
      </c>
      <c r="F16" s="41" t="str">
        <f aca="false">IF(OR(F$4="",$B16=""),"",INDEX(Jahr!$D$5:$BA$370,F$4-DATE(Einstellungen!$C$4,1,1)+1,(MATCH($B16,Einstellungen!$B$13:$B$17,0)-1)*10+1))</f>
        <v/>
      </c>
      <c r="G16" s="41" t="str">
        <f aca="false">IF(OR(G$4="",$B16=""),"",INDEX(Jahr!$D$5:$BA$370,G$4-DATE(Einstellungen!$C$4,1,1)+1,(MATCH($B16,Einstellungen!$B$13:$B$17,0)-1)*10+1))</f>
        <v/>
      </c>
      <c r="H16" s="41" t="str">
        <f aca="false">IF(OR(H$4="",$B16=""),"",INDEX(Jahr!$D$5:$BA$370,H$4-DATE(Einstellungen!$C$4,1,1)+1,(MATCH($B16,Einstellungen!$B$13:$B$17,0)-1)*10+1))</f>
        <v/>
      </c>
      <c r="I16" s="41" t="str">
        <f aca="false">IF(OR(I$4="",$B16=""),"",INDEX(Jahr!$D$5:$BA$370,I$4-DATE(Einstellungen!$C$4,1,1)+1,(MATCH($B16,Einstellungen!$B$13:$B$17,0)-1)*10+1))</f>
        <v/>
      </c>
      <c r="J16" s="41" t="str">
        <f aca="false">IF(OR(J$4="",$B16=""),"",INDEX(Jahr!$D$5:$BA$370,J$4-DATE(Einstellungen!$C$4,1,1)+1,(MATCH($B16,Einstellungen!$B$13:$B$17,0)-1)*10+1))</f>
        <v/>
      </c>
      <c r="K16" s="41" t="str">
        <f aca="false">IF(OR(K$4="",$B16=""),"",INDEX(Jahr!$D$5:$BA$370,K$4-DATE(Einstellungen!$C$4,1,1)+1,(MATCH($B16,Einstellungen!$B$13:$B$17,0)-1)*10+1))</f>
        <v/>
      </c>
      <c r="L16" s="41" t="str">
        <f aca="false">IF(OR(L$4="",$B16=""),"",INDEX(Jahr!$D$5:$BA$370,L$4-DATE(Einstellungen!$C$4,1,1)+1,(MATCH($B16,Einstellungen!$B$13:$B$17,0)-1)*10+1))</f>
        <v/>
      </c>
      <c r="M16" s="41" t="str">
        <f aca="false">IF(OR(M$4="",$B16=""),"",INDEX(Jahr!$D$5:$BA$370,M$4-DATE(Einstellungen!$C$4,1,1)+1,(MATCH($B16,Einstellungen!$B$13:$B$17,0)-1)*10+1))</f>
        <v/>
      </c>
      <c r="N16" s="41" t="str">
        <f aca="false">IF(OR(N$4="",$B16=""),"",INDEX(Jahr!$D$5:$BA$370,N$4-DATE(Einstellungen!$C$4,1,1)+1,(MATCH($B16,Einstellungen!$B$13:$B$17,0)-1)*10+1))</f>
        <v/>
      </c>
      <c r="O16" s="41" t="str">
        <f aca="false">IF(OR(O$4="",$B16=""),"",INDEX(Jahr!$D$5:$BA$370,O$4-DATE(Einstellungen!$C$4,1,1)+1,(MATCH($B16,Einstellungen!$B$13:$B$17,0)-1)*10+1))</f>
        <v/>
      </c>
      <c r="P16" s="41" t="str">
        <f aca="false">IF(OR(P$4="",$B16=""),"",INDEX(Jahr!$D$5:$BA$370,P$4-DATE(Einstellungen!$C$4,1,1)+1,(MATCH($B16,Einstellungen!$B$13:$B$17,0)-1)*10+1))</f>
        <v/>
      </c>
      <c r="Q16" s="41" t="str">
        <f aca="false">IF(OR(Q$4="",$B16=""),"",INDEX(Jahr!$D$5:$BA$370,Q$4-DATE(Einstellungen!$C$4,1,1)+1,(MATCH($B16,Einstellungen!$B$13:$B$17,0)-1)*10+1))</f>
        <v/>
      </c>
      <c r="R16" s="41" t="str">
        <f aca="false">IF(OR(R$4="",$B16=""),"",INDEX(Jahr!$D$5:$BA$370,R$4-DATE(Einstellungen!$C$4,1,1)+1,(MATCH($B16,Einstellungen!$B$13:$B$17,0)-1)*10+1))</f>
        <v/>
      </c>
      <c r="S16" s="41" t="str">
        <f aca="false">IF(OR(S$4="",$B16=""),"",INDEX(Jahr!$D$5:$BA$370,S$4-DATE(Einstellungen!$C$4,1,1)+1,(MATCH($B16,Einstellungen!$B$13:$B$17,0)-1)*10+1))</f>
        <v/>
      </c>
      <c r="T16" s="41" t="str">
        <f aca="false">IF(OR(T$4="",$B16=""),"",INDEX(Jahr!$D$5:$BA$370,T$4-DATE(Einstellungen!$C$4,1,1)+1,(MATCH($B16,Einstellungen!$B$13:$B$17,0)-1)*10+1))</f>
        <v/>
      </c>
      <c r="U16" s="41" t="str">
        <f aca="false">IF(OR(U$4="",$B16=""),"",INDEX(Jahr!$D$5:$BA$370,U$4-DATE(Einstellungen!$C$4,1,1)+1,(MATCH($B16,Einstellungen!$B$13:$B$17,0)-1)*10+1))</f>
        <v/>
      </c>
      <c r="V16" s="41" t="str">
        <f aca="false">IF(OR(V$4="",$B16=""),"",INDEX(Jahr!$D$5:$BA$370,V$4-DATE(Einstellungen!$C$4,1,1)+1,(MATCH($B16,Einstellungen!$B$13:$B$17,0)-1)*10+1))</f>
        <v/>
      </c>
      <c r="W16" s="41" t="str">
        <f aca="false">IF(OR(W$4="",$B16=""),"",INDEX(Jahr!$D$5:$BA$370,W$4-DATE(Einstellungen!$C$4,1,1)+1,(MATCH($B16,Einstellungen!$B$13:$B$17,0)-1)*10+1))</f>
        <v/>
      </c>
      <c r="X16" s="41" t="str">
        <f aca="false">IF(OR(X$4="",$B16=""),"",INDEX(Jahr!$D$5:$BA$370,X$4-DATE(Einstellungen!$C$4,1,1)+1,(MATCH($B16,Einstellungen!$B$13:$B$17,0)-1)*10+1))</f>
        <v/>
      </c>
      <c r="Y16" s="41" t="str">
        <f aca="false">IF(OR(Y$4="",$B16=""),"",INDEX(Jahr!$D$5:$BA$370,Y$4-DATE(Einstellungen!$C$4,1,1)+1,(MATCH($B16,Einstellungen!$B$13:$B$17,0)-1)*10+1))</f>
        <v/>
      </c>
      <c r="Z16" s="41" t="str">
        <f aca="false">IF(OR(Z$4="",$B16=""),"",INDEX(Jahr!$D$5:$BA$370,Z$4-DATE(Einstellungen!$C$4,1,1)+1,(MATCH($B16,Einstellungen!$B$13:$B$17,0)-1)*10+1))</f>
        <v/>
      </c>
      <c r="AA16" s="41" t="str">
        <f aca="false">IF(OR(AA$4="",$B16=""),"",INDEX(Jahr!$D$5:$BA$370,AA$4-DATE(Einstellungen!$C$4,1,1)+1,(MATCH($B16,Einstellungen!$B$13:$B$17,0)-1)*10+1))</f>
        <v/>
      </c>
      <c r="AB16" s="41" t="str">
        <f aca="false">IF(OR(AB$4="",$B16=""),"",INDEX(Jahr!$D$5:$BA$370,AB$4-DATE(Einstellungen!$C$4,1,1)+1,(MATCH($B16,Einstellungen!$B$13:$B$17,0)-1)*10+1))</f>
        <v/>
      </c>
      <c r="AC16" s="41" t="str">
        <f aca="false">IF(OR(AC$4="",$B16=""),"",INDEX(Jahr!$D$5:$BA$370,AC$4-DATE(Einstellungen!$C$4,1,1)+1,(MATCH($B16,Einstellungen!$B$13:$B$17,0)-1)*10+1))</f>
        <v/>
      </c>
      <c r="AD16" s="41" t="str">
        <f aca="false">IF(OR(AD$4="",$B16=""),"",INDEX(Jahr!$D$5:$BA$370,AD$4-DATE(Einstellungen!$C$4,1,1)+1,(MATCH($B16,Einstellungen!$B$13:$B$17,0)-1)*10+1))</f>
        <v/>
      </c>
      <c r="AE16" s="41" t="str">
        <f aca="false">IF(OR(AE$4="",$B16=""),"",INDEX(Jahr!$D$5:$BA$370,AE$4-DATE(Einstellungen!$C$4,1,1)+1,(MATCH($B16,Einstellungen!$B$13:$B$17,0)-1)*10+1))</f>
        <v/>
      </c>
      <c r="AF16" s="41" t="str">
        <f aca="false">IF(OR(AF$4="",$B16=""),"",INDEX(Jahr!$D$5:$BA$370,AF$4-DATE(Einstellungen!$C$4,1,1)+1,(MATCH($B16,Einstellungen!$B$13:$B$17,0)-1)*10+1))</f>
        <v/>
      </c>
      <c r="AG16" s="41" t="str">
        <f aca="false">IF(OR(AG$4="",$B16=""),"",INDEX(Jahr!$D$5:$BA$370,AG$4-DATE(Einstellungen!$C$4,1,1)+1,(MATCH($B16,Einstellungen!$B$13:$B$17,0)-1)*10+1))</f>
        <v/>
      </c>
      <c r="AH16" s="42" t="str">
        <f aca="false">IF($B16="","",SUMPRODUCT(--(SUMIF(Schichten!$A$5:$A$24,$C16:$AG16,Schichten!$F$5:$F$24)&gt;0)))</f>
        <v/>
      </c>
      <c r="AI16" s="43" t="str">
        <f aca="false">IF($B16="","",SUMPRODUCT(SUMIF(Schichten!$A$5:$A$24,$C16:$AG16,Schichten!$F$5:$F$24)))</f>
        <v/>
      </c>
      <c r="AJ16" s="42" t="str">
        <f aca="false">IF($B16="","",SUMPRODUCT(--(SUMIF(Schichten!$A$5:$A$24,$C16:$AG16,Schichten!$G$5:$G$24)&gt;0)))</f>
        <v/>
      </c>
      <c r="AK16" s="44" t="str">
        <f aca="false">IF($B16="","",SUMPRODUCT(SUMIF(Schichten!$A$5:$A$24,$C16:$AG16,Schichten!$G$5:$G$24)))</f>
        <v/>
      </c>
    </row>
    <row r="17" customFormat="false" ht="15" hidden="false" customHeight="false" outlineLevel="0" collapsed="false">
      <c r="A17" s="40"/>
      <c r="B17" s="15"/>
      <c r="C17" s="41" t="str">
        <f aca="false">IF(OR(C$4="",$B17=""),"",INDEX(Jahr!$D$5:$BA$370,C$4-DATE(Einstellungen!$C$4,1,1)+1,(MATCH($B17,Einstellungen!$B$13:$B$17,0)-1)*10+1))</f>
        <v/>
      </c>
      <c r="D17" s="41" t="str">
        <f aca="false">IF(OR(D$4="",$B17=""),"",INDEX(Jahr!$D$5:$BA$370,D$4-DATE(Einstellungen!$C$4,1,1)+1,(MATCH($B17,Einstellungen!$B$13:$B$17,0)-1)*10+1))</f>
        <v/>
      </c>
      <c r="E17" s="41" t="str">
        <f aca="false">IF(OR(E$4="",$B17=""),"",INDEX(Jahr!$D$5:$BA$370,E$4-DATE(Einstellungen!$C$4,1,1)+1,(MATCH($B17,Einstellungen!$B$13:$B$17,0)-1)*10+1))</f>
        <v/>
      </c>
      <c r="F17" s="41" t="str">
        <f aca="false">IF(OR(F$4="",$B17=""),"",INDEX(Jahr!$D$5:$BA$370,F$4-DATE(Einstellungen!$C$4,1,1)+1,(MATCH($B17,Einstellungen!$B$13:$B$17,0)-1)*10+1))</f>
        <v/>
      </c>
      <c r="G17" s="41" t="str">
        <f aca="false">IF(OR(G$4="",$B17=""),"",INDEX(Jahr!$D$5:$BA$370,G$4-DATE(Einstellungen!$C$4,1,1)+1,(MATCH($B17,Einstellungen!$B$13:$B$17,0)-1)*10+1))</f>
        <v/>
      </c>
      <c r="H17" s="41" t="str">
        <f aca="false">IF(OR(H$4="",$B17=""),"",INDEX(Jahr!$D$5:$BA$370,H$4-DATE(Einstellungen!$C$4,1,1)+1,(MATCH($B17,Einstellungen!$B$13:$B$17,0)-1)*10+1))</f>
        <v/>
      </c>
      <c r="I17" s="41" t="str">
        <f aca="false">IF(OR(I$4="",$B17=""),"",INDEX(Jahr!$D$5:$BA$370,I$4-DATE(Einstellungen!$C$4,1,1)+1,(MATCH($B17,Einstellungen!$B$13:$B$17,0)-1)*10+1))</f>
        <v/>
      </c>
      <c r="J17" s="41" t="str">
        <f aca="false">IF(OR(J$4="",$B17=""),"",INDEX(Jahr!$D$5:$BA$370,J$4-DATE(Einstellungen!$C$4,1,1)+1,(MATCH($B17,Einstellungen!$B$13:$B$17,0)-1)*10+1))</f>
        <v/>
      </c>
      <c r="K17" s="41" t="str">
        <f aca="false">IF(OR(K$4="",$B17=""),"",INDEX(Jahr!$D$5:$BA$370,K$4-DATE(Einstellungen!$C$4,1,1)+1,(MATCH($B17,Einstellungen!$B$13:$B$17,0)-1)*10+1))</f>
        <v/>
      </c>
      <c r="L17" s="41" t="str">
        <f aca="false">IF(OR(L$4="",$B17=""),"",INDEX(Jahr!$D$5:$BA$370,L$4-DATE(Einstellungen!$C$4,1,1)+1,(MATCH($B17,Einstellungen!$B$13:$B$17,0)-1)*10+1))</f>
        <v/>
      </c>
      <c r="M17" s="41" t="str">
        <f aca="false">IF(OR(M$4="",$B17=""),"",INDEX(Jahr!$D$5:$BA$370,M$4-DATE(Einstellungen!$C$4,1,1)+1,(MATCH($B17,Einstellungen!$B$13:$B$17,0)-1)*10+1))</f>
        <v/>
      </c>
      <c r="N17" s="41" t="str">
        <f aca="false">IF(OR(N$4="",$B17=""),"",INDEX(Jahr!$D$5:$BA$370,N$4-DATE(Einstellungen!$C$4,1,1)+1,(MATCH($B17,Einstellungen!$B$13:$B$17,0)-1)*10+1))</f>
        <v/>
      </c>
      <c r="O17" s="41" t="str">
        <f aca="false">IF(OR(O$4="",$B17=""),"",INDEX(Jahr!$D$5:$BA$370,O$4-DATE(Einstellungen!$C$4,1,1)+1,(MATCH($B17,Einstellungen!$B$13:$B$17,0)-1)*10+1))</f>
        <v/>
      </c>
      <c r="P17" s="41" t="str">
        <f aca="false">IF(OR(P$4="",$B17=""),"",INDEX(Jahr!$D$5:$BA$370,P$4-DATE(Einstellungen!$C$4,1,1)+1,(MATCH($B17,Einstellungen!$B$13:$B$17,0)-1)*10+1))</f>
        <v/>
      </c>
      <c r="Q17" s="41" t="str">
        <f aca="false">IF(OR(Q$4="",$B17=""),"",INDEX(Jahr!$D$5:$BA$370,Q$4-DATE(Einstellungen!$C$4,1,1)+1,(MATCH($B17,Einstellungen!$B$13:$B$17,0)-1)*10+1))</f>
        <v/>
      </c>
      <c r="R17" s="41" t="str">
        <f aca="false">IF(OR(R$4="",$B17=""),"",INDEX(Jahr!$D$5:$BA$370,R$4-DATE(Einstellungen!$C$4,1,1)+1,(MATCH($B17,Einstellungen!$B$13:$B$17,0)-1)*10+1))</f>
        <v/>
      </c>
      <c r="S17" s="41" t="str">
        <f aca="false">IF(OR(S$4="",$B17=""),"",INDEX(Jahr!$D$5:$BA$370,S$4-DATE(Einstellungen!$C$4,1,1)+1,(MATCH($B17,Einstellungen!$B$13:$B$17,0)-1)*10+1))</f>
        <v/>
      </c>
      <c r="T17" s="41" t="str">
        <f aca="false">IF(OR(T$4="",$B17=""),"",INDEX(Jahr!$D$5:$BA$370,T$4-DATE(Einstellungen!$C$4,1,1)+1,(MATCH($B17,Einstellungen!$B$13:$B$17,0)-1)*10+1))</f>
        <v/>
      </c>
      <c r="U17" s="41" t="str">
        <f aca="false">IF(OR(U$4="",$B17=""),"",INDEX(Jahr!$D$5:$BA$370,U$4-DATE(Einstellungen!$C$4,1,1)+1,(MATCH($B17,Einstellungen!$B$13:$B$17,0)-1)*10+1))</f>
        <v/>
      </c>
      <c r="V17" s="41" t="str">
        <f aca="false">IF(OR(V$4="",$B17=""),"",INDEX(Jahr!$D$5:$BA$370,V$4-DATE(Einstellungen!$C$4,1,1)+1,(MATCH($B17,Einstellungen!$B$13:$B$17,0)-1)*10+1))</f>
        <v/>
      </c>
      <c r="W17" s="41" t="str">
        <f aca="false">IF(OR(W$4="",$B17=""),"",INDEX(Jahr!$D$5:$BA$370,W$4-DATE(Einstellungen!$C$4,1,1)+1,(MATCH($B17,Einstellungen!$B$13:$B$17,0)-1)*10+1))</f>
        <v/>
      </c>
      <c r="X17" s="41" t="str">
        <f aca="false">IF(OR(X$4="",$B17=""),"",INDEX(Jahr!$D$5:$BA$370,X$4-DATE(Einstellungen!$C$4,1,1)+1,(MATCH($B17,Einstellungen!$B$13:$B$17,0)-1)*10+1))</f>
        <v/>
      </c>
      <c r="Y17" s="41" t="str">
        <f aca="false">IF(OR(Y$4="",$B17=""),"",INDEX(Jahr!$D$5:$BA$370,Y$4-DATE(Einstellungen!$C$4,1,1)+1,(MATCH($B17,Einstellungen!$B$13:$B$17,0)-1)*10+1))</f>
        <v/>
      </c>
      <c r="Z17" s="41" t="str">
        <f aca="false">IF(OR(Z$4="",$B17=""),"",INDEX(Jahr!$D$5:$BA$370,Z$4-DATE(Einstellungen!$C$4,1,1)+1,(MATCH($B17,Einstellungen!$B$13:$B$17,0)-1)*10+1))</f>
        <v/>
      </c>
      <c r="AA17" s="41" t="str">
        <f aca="false">IF(OR(AA$4="",$B17=""),"",INDEX(Jahr!$D$5:$BA$370,AA$4-DATE(Einstellungen!$C$4,1,1)+1,(MATCH($B17,Einstellungen!$B$13:$B$17,0)-1)*10+1))</f>
        <v/>
      </c>
      <c r="AB17" s="41" t="str">
        <f aca="false">IF(OR(AB$4="",$B17=""),"",INDEX(Jahr!$D$5:$BA$370,AB$4-DATE(Einstellungen!$C$4,1,1)+1,(MATCH($B17,Einstellungen!$B$13:$B$17,0)-1)*10+1))</f>
        <v/>
      </c>
      <c r="AC17" s="41" t="str">
        <f aca="false">IF(OR(AC$4="",$B17=""),"",INDEX(Jahr!$D$5:$BA$370,AC$4-DATE(Einstellungen!$C$4,1,1)+1,(MATCH($B17,Einstellungen!$B$13:$B$17,0)-1)*10+1))</f>
        <v/>
      </c>
      <c r="AD17" s="41" t="str">
        <f aca="false">IF(OR(AD$4="",$B17=""),"",INDEX(Jahr!$D$5:$BA$370,AD$4-DATE(Einstellungen!$C$4,1,1)+1,(MATCH($B17,Einstellungen!$B$13:$B$17,0)-1)*10+1))</f>
        <v/>
      </c>
      <c r="AE17" s="41" t="str">
        <f aca="false">IF(OR(AE$4="",$B17=""),"",INDEX(Jahr!$D$5:$BA$370,AE$4-DATE(Einstellungen!$C$4,1,1)+1,(MATCH($B17,Einstellungen!$B$13:$B$17,0)-1)*10+1))</f>
        <v/>
      </c>
      <c r="AF17" s="41" t="str">
        <f aca="false">IF(OR(AF$4="",$B17=""),"",INDEX(Jahr!$D$5:$BA$370,AF$4-DATE(Einstellungen!$C$4,1,1)+1,(MATCH($B17,Einstellungen!$B$13:$B$17,0)-1)*10+1))</f>
        <v/>
      </c>
      <c r="AG17" s="41" t="str">
        <f aca="false">IF(OR(AG$4="",$B17=""),"",INDEX(Jahr!$D$5:$BA$370,AG$4-DATE(Einstellungen!$C$4,1,1)+1,(MATCH($B17,Einstellungen!$B$13:$B$17,0)-1)*10+1))</f>
        <v/>
      </c>
      <c r="AH17" s="42" t="str">
        <f aca="false">IF($B17="","",SUMPRODUCT(--(SUMIF(Schichten!$A$5:$A$24,$C17:$AG17,Schichten!$F$5:$F$24)&gt;0)))</f>
        <v/>
      </c>
      <c r="AI17" s="43" t="str">
        <f aca="false">IF($B17="","",SUMPRODUCT(SUMIF(Schichten!$A$5:$A$24,$C17:$AG17,Schichten!$F$5:$F$24)))</f>
        <v/>
      </c>
      <c r="AJ17" s="42" t="str">
        <f aca="false">IF($B17="","",SUMPRODUCT(--(SUMIF(Schichten!$A$5:$A$24,$C17:$AG17,Schichten!$G$5:$G$24)&gt;0)))</f>
        <v/>
      </c>
      <c r="AK17" s="44" t="str">
        <f aca="false">IF($B17="","",SUMPRODUCT(SUMIF(Schichten!$A$5:$A$24,$C17:$AG17,Schichten!$G$5:$G$24)))</f>
        <v/>
      </c>
    </row>
    <row r="18" customFormat="false" ht="15" hidden="false" customHeight="false" outlineLevel="0" collapsed="false">
      <c r="A18" s="40"/>
      <c r="B18" s="15"/>
      <c r="C18" s="41" t="str">
        <f aca="false">IF(OR(C$4="",$B18=""),"",INDEX(Jahr!$D$5:$BA$370,C$4-DATE(Einstellungen!$C$4,1,1)+1,(MATCH($B18,Einstellungen!$B$13:$B$17,0)-1)*10+1))</f>
        <v/>
      </c>
      <c r="D18" s="41" t="str">
        <f aca="false">IF(OR(D$4="",$B18=""),"",INDEX(Jahr!$D$5:$BA$370,D$4-DATE(Einstellungen!$C$4,1,1)+1,(MATCH($B18,Einstellungen!$B$13:$B$17,0)-1)*10+1))</f>
        <v/>
      </c>
      <c r="E18" s="41" t="str">
        <f aca="false">IF(OR(E$4="",$B18=""),"",INDEX(Jahr!$D$5:$BA$370,E$4-DATE(Einstellungen!$C$4,1,1)+1,(MATCH($B18,Einstellungen!$B$13:$B$17,0)-1)*10+1))</f>
        <v/>
      </c>
      <c r="F18" s="41" t="str">
        <f aca="false">IF(OR(F$4="",$B18=""),"",INDEX(Jahr!$D$5:$BA$370,F$4-DATE(Einstellungen!$C$4,1,1)+1,(MATCH($B18,Einstellungen!$B$13:$B$17,0)-1)*10+1))</f>
        <v/>
      </c>
      <c r="G18" s="41" t="str">
        <f aca="false">IF(OR(G$4="",$B18=""),"",INDEX(Jahr!$D$5:$BA$370,G$4-DATE(Einstellungen!$C$4,1,1)+1,(MATCH($B18,Einstellungen!$B$13:$B$17,0)-1)*10+1))</f>
        <v/>
      </c>
      <c r="H18" s="41" t="str">
        <f aca="false">IF(OR(H$4="",$B18=""),"",INDEX(Jahr!$D$5:$BA$370,H$4-DATE(Einstellungen!$C$4,1,1)+1,(MATCH($B18,Einstellungen!$B$13:$B$17,0)-1)*10+1))</f>
        <v/>
      </c>
      <c r="I18" s="41" t="str">
        <f aca="false">IF(OR(I$4="",$B18=""),"",INDEX(Jahr!$D$5:$BA$370,I$4-DATE(Einstellungen!$C$4,1,1)+1,(MATCH($B18,Einstellungen!$B$13:$B$17,0)-1)*10+1))</f>
        <v/>
      </c>
      <c r="J18" s="41" t="str">
        <f aca="false">IF(OR(J$4="",$B18=""),"",INDEX(Jahr!$D$5:$BA$370,J$4-DATE(Einstellungen!$C$4,1,1)+1,(MATCH($B18,Einstellungen!$B$13:$B$17,0)-1)*10+1))</f>
        <v/>
      </c>
      <c r="K18" s="41" t="str">
        <f aca="false">IF(OR(K$4="",$B18=""),"",INDEX(Jahr!$D$5:$BA$370,K$4-DATE(Einstellungen!$C$4,1,1)+1,(MATCH($B18,Einstellungen!$B$13:$B$17,0)-1)*10+1))</f>
        <v/>
      </c>
      <c r="L18" s="41" t="str">
        <f aca="false">IF(OR(L$4="",$B18=""),"",INDEX(Jahr!$D$5:$BA$370,L$4-DATE(Einstellungen!$C$4,1,1)+1,(MATCH($B18,Einstellungen!$B$13:$B$17,0)-1)*10+1))</f>
        <v/>
      </c>
      <c r="M18" s="41" t="str">
        <f aca="false">IF(OR(M$4="",$B18=""),"",INDEX(Jahr!$D$5:$BA$370,M$4-DATE(Einstellungen!$C$4,1,1)+1,(MATCH($B18,Einstellungen!$B$13:$B$17,0)-1)*10+1))</f>
        <v/>
      </c>
      <c r="N18" s="41" t="str">
        <f aca="false">IF(OR(N$4="",$B18=""),"",INDEX(Jahr!$D$5:$BA$370,N$4-DATE(Einstellungen!$C$4,1,1)+1,(MATCH($B18,Einstellungen!$B$13:$B$17,0)-1)*10+1))</f>
        <v/>
      </c>
      <c r="O18" s="41" t="str">
        <f aca="false">IF(OR(O$4="",$B18=""),"",INDEX(Jahr!$D$5:$BA$370,O$4-DATE(Einstellungen!$C$4,1,1)+1,(MATCH($B18,Einstellungen!$B$13:$B$17,0)-1)*10+1))</f>
        <v/>
      </c>
      <c r="P18" s="41" t="str">
        <f aca="false">IF(OR(P$4="",$B18=""),"",INDEX(Jahr!$D$5:$BA$370,P$4-DATE(Einstellungen!$C$4,1,1)+1,(MATCH($B18,Einstellungen!$B$13:$B$17,0)-1)*10+1))</f>
        <v/>
      </c>
      <c r="Q18" s="41" t="str">
        <f aca="false">IF(OR(Q$4="",$B18=""),"",INDEX(Jahr!$D$5:$BA$370,Q$4-DATE(Einstellungen!$C$4,1,1)+1,(MATCH($B18,Einstellungen!$B$13:$B$17,0)-1)*10+1))</f>
        <v/>
      </c>
      <c r="R18" s="41" t="str">
        <f aca="false">IF(OR(R$4="",$B18=""),"",INDEX(Jahr!$D$5:$BA$370,R$4-DATE(Einstellungen!$C$4,1,1)+1,(MATCH($B18,Einstellungen!$B$13:$B$17,0)-1)*10+1))</f>
        <v/>
      </c>
      <c r="S18" s="41" t="str">
        <f aca="false">IF(OR(S$4="",$B18=""),"",INDEX(Jahr!$D$5:$BA$370,S$4-DATE(Einstellungen!$C$4,1,1)+1,(MATCH($B18,Einstellungen!$B$13:$B$17,0)-1)*10+1))</f>
        <v/>
      </c>
      <c r="T18" s="41" t="str">
        <f aca="false">IF(OR(T$4="",$B18=""),"",INDEX(Jahr!$D$5:$BA$370,T$4-DATE(Einstellungen!$C$4,1,1)+1,(MATCH($B18,Einstellungen!$B$13:$B$17,0)-1)*10+1))</f>
        <v/>
      </c>
      <c r="U18" s="41" t="str">
        <f aca="false">IF(OR(U$4="",$B18=""),"",INDEX(Jahr!$D$5:$BA$370,U$4-DATE(Einstellungen!$C$4,1,1)+1,(MATCH($B18,Einstellungen!$B$13:$B$17,0)-1)*10+1))</f>
        <v/>
      </c>
      <c r="V18" s="41" t="str">
        <f aca="false">IF(OR(V$4="",$B18=""),"",INDEX(Jahr!$D$5:$BA$370,V$4-DATE(Einstellungen!$C$4,1,1)+1,(MATCH($B18,Einstellungen!$B$13:$B$17,0)-1)*10+1))</f>
        <v/>
      </c>
      <c r="W18" s="41" t="str">
        <f aca="false">IF(OR(W$4="",$B18=""),"",INDEX(Jahr!$D$5:$BA$370,W$4-DATE(Einstellungen!$C$4,1,1)+1,(MATCH($B18,Einstellungen!$B$13:$B$17,0)-1)*10+1))</f>
        <v/>
      </c>
      <c r="X18" s="41" t="str">
        <f aca="false">IF(OR(X$4="",$B18=""),"",INDEX(Jahr!$D$5:$BA$370,X$4-DATE(Einstellungen!$C$4,1,1)+1,(MATCH($B18,Einstellungen!$B$13:$B$17,0)-1)*10+1))</f>
        <v/>
      </c>
      <c r="Y18" s="41" t="str">
        <f aca="false">IF(OR(Y$4="",$B18=""),"",INDEX(Jahr!$D$5:$BA$370,Y$4-DATE(Einstellungen!$C$4,1,1)+1,(MATCH($B18,Einstellungen!$B$13:$B$17,0)-1)*10+1))</f>
        <v/>
      </c>
      <c r="Z18" s="41" t="str">
        <f aca="false">IF(OR(Z$4="",$B18=""),"",INDEX(Jahr!$D$5:$BA$370,Z$4-DATE(Einstellungen!$C$4,1,1)+1,(MATCH($B18,Einstellungen!$B$13:$B$17,0)-1)*10+1))</f>
        <v/>
      </c>
      <c r="AA18" s="41" t="str">
        <f aca="false">IF(OR(AA$4="",$B18=""),"",INDEX(Jahr!$D$5:$BA$370,AA$4-DATE(Einstellungen!$C$4,1,1)+1,(MATCH($B18,Einstellungen!$B$13:$B$17,0)-1)*10+1))</f>
        <v/>
      </c>
      <c r="AB18" s="41" t="str">
        <f aca="false">IF(OR(AB$4="",$B18=""),"",INDEX(Jahr!$D$5:$BA$370,AB$4-DATE(Einstellungen!$C$4,1,1)+1,(MATCH($B18,Einstellungen!$B$13:$B$17,0)-1)*10+1))</f>
        <v/>
      </c>
      <c r="AC18" s="41" t="str">
        <f aca="false">IF(OR(AC$4="",$B18=""),"",INDEX(Jahr!$D$5:$BA$370,AC$4-DATE(Einstellungen!$C$4,1,1)+1,(MATCH($B18,Einstellungen!$B$13:$B$17,0)-1)*10+1))</f>
        <v/>
      </c>
      <c r="AD18" s="41" t="str">
        <f aca="false">IF(OR(AD$4="",$B18=""),"",INDEX(Jahr!$D$5:$BA$370,AD$4-DATE(Einstellungen!$C$4,1,1)+1,(MATCH($B18,Einstellungen!$B$13:$B$17,0)-1)*10+1))</f>
        <v/>
      </c>
      <c r="AE18" s="41" t="str">
        <f aca="false">IF(OR(AE$4="",$B18=""),"",INDEX(Jahr!$D$5:$BA$370,AE$4-DATE(Einstellungen!$C$4,1,1)+1,(MATCH($B18,Einstellungen!$B$13:$B$17,0)-1)*10+1))</f>
        <v/>
      </c>
      <c r="AF18" s="41" t="str">
        <f aca="false">IF(OR(AF$4="",$B18=""),"",INDEX(Jahr!$D$5:$BA$370,AF$4-DATE(Einstellungen!$C$4,1,1)+1,(MATCH($B18,Einstellungen!$B$13:$B$17,0)-1)*10+1))</f>
        <v/>
      </c>
      <c r="AG18" s="41" t="str">
        <f aca="false">IF(OR(AG$4="",$B18=""),"",INDEX(Jahr!$D$5:$BA$370,AG$4-DATE(Einstellungen!$C$4,1,1)+1,(MATCH($B18,Einstellungen!$B$13:$B$17,0)-1)*10+1))</f>
        <v/>
      </c>
      <c r="AH18" s="42" t="str">
        <f aca="false">IF($B18="","",SUMPRODUCT(--(SUMIF(Schichten!$A$5:$A$24,$C18:$AG18,Schichten!$F$5:$F$24)&gt;0)))</f>
        <v/>
      </c>
      <c r="AI18" s="43" t="str">
        <f aca="false">IF($B18="","",SUMPRODUCT(SUMIF(Schichten!$A$5:$A$24,$C18:$AG18,Schichten!$F$5:$F$24)))</f>
        <v/>
      </c>
      <c r="AJ18" s="42" t="str">
        <f aca="false">IF($B18="","",SUMPRODUCT(--(SUMIF(Schichten!$A$5:$A$24,$C18:$AG18,Schichten!$G$5:$G$24)&gt;0)))</f>
        <v/>
      </c>
      <c r="AK18" s="44" t="str">
        <f aca="false">IF($B18="","",SUMPRODUCT(SUMIF(Schichten!$A$5:$A$24,$C18:$AG18,Schichten!$G$5:$G$24)))</f>
        <v/>
      </c>
    </row>
    <row r="19" customFormat="false" ht="15" hidden="false" customHeight="false" outlineLevel="0" collapsed="false">
      <c r="A19" s="40"/>
      <c r="B19" s="15"/>
      <c r="C19" s="41" t="str">
        <f aca="false">IF(OR(C$4="",$B19=""),"",INDEX(Jahr!$D$5:$BA$370,C$4-DATE(Einstellungen!$C$4,1,1)+1,(MATCH($B19,Einstellungen!$B$13:$B$17,0)-1)*10+1))</f>
        <v/>
      </c>
      <c r="D19" s="41" t="str">
        <f aca="false">IF(OR(D$4="",$B19=""),"",INDEX(Jahr!$D$5:$BA$370,D$4-DATE(Einstellungen!$C$4,1,1)+1,(MATCH($B19,Einstellungen!$B$13:$B$17,0)-1)*10+1))</f>
        <v/>
      </c>
      <c r="E19" s="41" t="str">
        <f aca="false">IF(OR(E$4="",$B19=""),"",INDEX(Jahr!$D$5:$BA$370,E$4-DATE(Einstellungen!$C$4,1,1)+1,(MATCH($B19,Einstellungen!$B$13:$B$17,0)-1)*10+1))</f>
        <v/>
      </c>
      <c r="F19" s="41" t="str">
        <f aca="false">IF(OR(F$4="",$B19=""),"",INDEX(Jahr!$D$5:$BA$370,F$4-DATE(Einstellungen!$C$4,1,1)+1,(MATCH($B19,Einstellungen!$B$13:$B$17,0)-1)*10+1))</f>
        <v/>
      </c>
      <c r="G19" s="41" t="str">
        <f aca="false">IF(OR(G$4="",$B19=""),"",INDEX(Jahr!$D$5:$BA$370,G$4-DATE(Einstellungen!$C$4,1,1)+1,(MATCH($B19,Einstellungen!$B$13:$B$17,0)-1)*10+1))</f>
        <v/>
      </c>
      <c r="H19" s="41" t="str">
        <f aca="false">IF(OR(H$4="",$B19=""),"",INDEX(Jahr!$D$5:$BA$370,H$4-DATE(Einstellungen!$C$4,1,1)+1,(MATCH($B19,Einstellungen!$B$13:$B$17,0)-1)*10+1))</f>
        <v/>
      </c>
      <c r="I19" s="41" t="str">
        <f aca="false">IF(OR(I$4="",$B19=""),"",INDEX(Jahr!$D$5:$BA$370,I$4-DATE(Einstellungen!$C$4,1,1)+1,(MATCH($B19,Einstellungen!$B$13:$B$17,0)-1)*10+1))</f>
        <v/>
      </c>
      <c r="J19" s="41" t="str">
        <f aca="false">IF(OR(J$4="",$B19=""),"",INDEX(Jahr!$D$5:$BA$370,J$4-DATE(Einstellungen!$C$4,1,1)+1,(MATCH($B19,Einstellungen!$B$13:$B$17,0)-1)*10+1))</f>
        <v/>
      </c>
      <c r="K19" s="41" t="str">
        <f aca="false">IF(OR(K$4="",$B19=""),"",INDEX(Jahr!$D$5:$BA$370,K$4-DATE(Einstellungen!$C$4,1,1)+1,(MATCH($B19,Einstellungen!$B$13:$B$17,0)-1)*10+1))</f>
        <v/>
      </c>
      <c r="L19" s="41" t="str">
        <f aca="false">IF(OR(L$4="",$B19=""),"",INDEX(Jahr!$D$5:$BA$370,L$4-DATE(Einstellungen!$C$4,1,1)+1,(MATCH($B19,Einstellungen!$B$13:$B$17,0)-1)*10+1))</f>
        <v/>
      </c>
      <c r="M19" s="41" t="str">
        <f aca="false">IF(OR(M$4="",$B19=""),"",INDEX(Jahr!$D$5:$BA$370,M$4-DATE(Einstellungen!$C$4,1,1)+1,(MATCH($B19,Einstellungen!$B$13:$B$17,0)-1)*10+1))</f>
        <v/>
      </c>
      <c r="N19" s="41" t="str">
        <f aca="false">IF(OR(N$4="",$B19=""),"",INDEX(Jahr!$D$5:$BA$370,N$4-DATE(Einstellungen!$C$4,1,1)+1,(MATCH($B19,Einstellungen!$B$13:$B$17,0)-1)*10+1))</f>
        <v/>
      </c>
      <c r="O19" s="41" t="str">
        <f aca="false">IF(OR(O$4="",$B19=""),"",INDEX(Jahr!$D$5:$BA$370,O$4-DATE(Einstellungen!$C$4,1,1)+1,(MATCH($B19,Einstellungen!$B$13:$B$17,0)-1)*10+1))</f>
        <v/>
      </c>
      <c r="P19" s="41" t="str">
        <f aca="false">IF(OR(P$4="",$B19=""),"",INDEX(Jahr!$D$5:$BA$370,P$4-DATE(Einstellungen!$C$4,1,1)+1,(MATCH($B19,Einstellungen!$B$13:$B$17,0)-1)*10+1))</f>
        <v/>
      </c>
      <c r="Q19" s="41" t="str">
        <f aca="false">IF(OR(Q$4="",$B19=""),"",INDEX(Jahr!$D$5:$BA$370,Q$4-DATE(Einstellungen!$C$4,1,1)+1,(MATCH($B19,Einstellungen!$B$13:$B$17,0)-1)*10+1))</f>
        <v/>
      </c>
      <c r="R19" s="41" t="str">
        <f aca="false">IF(OR(R$4="",$B19=""),"",INDEX(Jahr!$D$5:$BA$370,R$4-DATE(Einstellungen!$C$4,1,1)+1,(MATCH($B19,Einstellungen!$B$13:$B$17,0)-1)*10+1))</f>
        <v/>
      </c>
      <c r="S19" s="41" t="str">
        <f aca="false">IF(OR(S$4="",$B19=""),"",INDEX(Jahr!$D$5:$BA$370,S$4-DATE(Einstellungen!$C$4,1,1)+1,(MATCH($B19,Einstellungen!$B$13:$B$17,0)-1)*10+1))</f>
        <v/>
      </c>
      <c r="T19" s="41" t="str">
        <f aca="false">IF(OR(T$4="",$B19=""),"",INDEX(Jahr!$D$5:$BA$370,T$4-DATE(Einstellungen!$C$4,1,1)+1,(MATCH($B19,Einstellungen!$B$13:$B$17,0)-1)*10+1))</f>
        <v/>
      </c>
      <c r="U19" s="41" t="str">
        <f aca="false">IF(OR(U$4="",$B19=""),"",INDEX(Jahr!$D$5:$BA$370,U$4-DATE(Einstellungen!$C$4,1,1)+1,(MATCH($B19,Einstellungen!$B$13:$B$17,0)-1)*10+1))</f>
        <v/>
      </c>
      <c r="V19" s="41" t="str">
        <f aca="false">IF(OR(V$4="",$B19=""),"",INDEX(Jahr!$D$5:$BA$370,V$4-DATE(Einstellungen!$C$4,1,1)+1,(MATCH($B19,Einstellungen!$B$13:$B$17,0)-1)*10+1))</f>
        <v/>
      </c>
      <c r="W19" s="41" t="str">
        <f aca="false">IF(OR(W$4="",$B19=""),"",INDEX(Jahr!$D$5:$BA$370,W$4-DATE(Einstellungen!$C$4,1,1)+1,(MATCH($B19,Einstellungen!$B$13:$B$17,0)-1)*10+1))</f>
        <v/>
      </c>
      <c r="X19" s="41" t="str">
        <f aca="false">IF(OR(X$4="",$B19=""),"",INDEX(Jahr!$D$5:$BA$370,X$4-DATE(Einstellungen!$C$4,1,1)+1,(MATCH($B19,Einstellungen!$B$13:$B$17,0)-1)*10+1))</f>
        <v/>
      </c>
      <c r="Y19" s="41" t="str">
        <f aca="false">IF(OR(Y$4="",$B19=""),"",INDEX(Jahr!$D$5:$BA$370,Y$4-DATE(Einstellungen!$C$4,1,1)+1,(MATCH($B19,Einstellungen!$B$13:$B$17,0)-1)*10+1))</f>
        <v/>
      </c>
      <c r="Z19" s="41" t="str">
        <f aca="false">IF(OR(Z$4="",$B19=""),"",INDEX(Jahr!$D$5:$BA$370,Z$4-DATE(Einstellungen!$C$4,1,1)+1,(MATCH($B19,Einstellungen!$B$13:$B$17,0)-1)*10+1))</f>
        <v/>
      </c>
      <c r="AA19" s="41" t="str">
        <f aca="false">IF(OR(AA$4="",$B19=""),"",INDEX(Jahr!$D$5:$BA$370,AA$4-DATE(Einstellungen!$C$4,1,1)+1,(MATCH($B19,Einstellungen!$B$13:$B$17,0)-1)*10+1))</f>
        <v/>
      </c>
      <c r="AB19" s="41" t="str">
        <f aca="false">IF(OR(AB$4="",$B19=""),"",INDEX(Jahr!$D$5:$BA$370,AB$4-DATE(Einstellungen!$C$4,1,1)+1,(MATCH($B19,Einstellungen!$B$13:$B$17,0)-1)*10+1))</f>
        <v/>
      </c>
      <c r="AC19" s="41" t="str">
        <f aca="false">IF(OR(AC$4="",$B19=""),"",INDEX(Jahr!$D$5:$BA$370,AC$4-DATE(Einstellungen!$C$4,1,1)+1,(MATCH($B19,Einstellungen!$B$13:$B$17,0)-1)*10+1))</f>
        <v/>
      </c>
      <c r="AD19" s="41" t="str">
        <f aca="false">IF(OR(AD$4="",$B19=""),"",INDEX(Jahr!$D$5:$BA$370,AD$4-DATE(Einstellungen!$C$4,1,1)+1,(MATCH($B19,Einstellungen!$B$13:$B$17,0)-1)*10+1))</f>
        <v/>
      </c>
      <c r="AE19" s="41" t="str">
        <f aca="false">IF(OR(AE$4="",$B19=""),"",INDEX(Jahr!$D$5:$BA$370,AE$4-DATE(Einstellungen!$C$4,1,1)+1,(MATCH($B19,Einstellungen!$B$13:$B$17,0)-1)*10+1))</f>
        <v/>
      </c>
      <c r="AF19" s="41" t="str">
        <f aca="false">IF(OR(AF$4="",$B19=""),"",INDEX(Jahr!$D$5:$BA$370,AF$4-DATE(Einstellungen!$C$4,1,1)+1,(MATCH($B19,Einstellungen!$B$13:$B$17,0)-1)*10+1))</f>
        <v/>
      </c>
      <c r="AG19" s="41" t="str">
        <f aca="false">IF(OR(AG$4="",$B19=""),"",INDEX(Jahr!$D$5:$BA$370,AG$4-DATE(Einstellungen!$C$4,1,1)+1,(MATCH($B19,Einstellungen!$B$13:$B$17,0)-1)*10+1))</f>
        <v/>
      </c>
      <c r="AH19" s="42" t="str">
        <f aca="false">IF($B19="","",SUMPRODUCT(--(SUMIF(Schichten!$A$5:$A$24,$C19:$AG19,Schichten!$F$5:$F$24)&gt;0)))</f>
        <v/>
      </c>
      <c r="AI19" s="43" t="str">
        <f aca="false">IF($B19="","",SUMPRODUCT(SUMIF(Schichten!$A$5:$A$24,$C19:$AG19,Schichten!$F$5:$F$24)))</f>
        <v/>
      </c>
      <c r="AJ19" s="42" t="str">
        <f aca="false">IF($B19="","",SUMPRODUCT(--(SUMIF(Schichten!$A$5:$A$24,$C19:$AG19,Schichten!$G$5:$G$24)&gt;0)))</f>
        <v/>
      </c>
      <c r="AK19" s="44" t="str">
        <f aca="false">IF($B19="","",SUMPRODUCT(SUMIF(Schichten!$A$5:$A$24,$C19:$AG19,Schichten!$G$5:$G$24)))</f>
        <v/>
      </c>
    </row>
    <row r="20" customFormat="false" ht="15" hidden="false" customHeight="false" outlineLevel="0" collapsed="false">
      <c r="A20" s="40"/>
      <c r="B20" s="15"/>
      <c r="C20" s="41" t="str">
        <f aca="false">IF(OR(C$4="",$B20=""),"",INDEX(Jahr!$D$5:$BA$370,C$4-DATE(Einstellungen!$C$4,1,1)+1,(MATCH($B20,Einstellungen!$B$13:$B$17,0)-1)*10+1))</f>
        <v/>
      </c>
      <c r="D20" s="41" t="str">
        <f aca="false">IF(OR(D$4="",$B20=""),"",INDEX(Jahr!$D$5:$BA$370,D$4-DATE(Einstellungen!$C$4,1,1)+1,(MATCH($B20,Einstellungen!$B$13:$B$17,0)-1)*10+1))</f>
        <v/>
      </c>
      <c r="E20" s="41" t="str">
        <f aca="false">IF(OR(E$4="",$B20=""),"",INDEX(Jahr!$D$5:$BA$370,E$4-DATE(Einstellungen!$C$4,1,1)+1,(MATCH($B20,Einstellungen!$B$13:$B$17,0)-1)*10+1))</f>
        <v/>
      </c>
      <c r="F20" s="41" t="str">
        <f aca="false">IF(OR(F$4="",$B20=""),"",INDEX(Jahr!$D$5:$BA$370,F$4-DATE(Einstellungen!$C$4,1,1)+1,(MATCH($B20,Einstellungen!$B$13:$B$17,0)-1)*10+1))</f>
        <v/>
      </c>
      <c r="G20" s="41" t="str">
        <f aca="false">IF(OR(G$4="",$B20=""),"",INDEX(Jahr!$D$5:$BA$370,G$4-DATE(Einstellungen!$C$4,1,1)+1,(MATCH($B20,Einstellungen!$B$13:$B$17,0)-1)*10+1))</f>
        <v/>
      </c>
      <c r="H20" s="41" t="str">
        <f aca="false">IF(OR(H$4="",$B20=""),"",INDEX(Jahr!$D$5:$BA$370,H$4-DATE(Einstellungen!$C$4,1,1)+1,(MATCH($B20,Einstellungen!$B$13:$B$17,0)-1)*10+1))</f>
        <v/>
      </c>
      <c r="I20" s="41" t="str">
        <f aca="false">IF(OR(I$4="",$B20=""),"",INDEX(Jahr!$D$5:$BA$370,I$4-DATE(Einstellungen!$C$4,1,1)+1,(MATCH($B20,Einstellungen!$B$13:$B$17,0)-1)*10+1))</f>
        <v/>
      </c>
      <c r="J20" s="41" t="str">
        <f aca="false">IF(OR(J$4="",$B20=""),"",INDEX(Jahr!$D$5:$BA$370,J$4-DATE(Einstellungen!$C$4,1,1)+1,(MATCH($B20,Einstellungen!$B$13:$B$17,0)-1)*10+1))</f>
        <v/>
      </c>
      <c r="K20" s="41" t="str">
        <f aca="false">IF(OR(K$4="",$B20=""),"",INDEX(Jahr!$D$5:$BA$370,K$4-DATE(Einstellungen!$C$4,1,1)+1,(MATCH($B20,Einstellungen!$B$13:$B$17,0)-1)*10+1))</f>
        <v/>
      </c>
      <c r="L20" s="41" t="str">
        <f aca="false">IF(OR(L$4="",$B20=""),"",INDEX(Jahr!$D$5:$BA$370,L$4-DATE(Einstellungen!$C$4,1,1)+1,(MATCH($B20,Einstellungen!$B$13:$B$17,0)-1)*10+1))</f>
        <v/>
      </c>
      <c r="M20" s="41" t="str">
        <f aca="false">IF(OR(M$4="",$B20=""),"",INDEX(Jahr!$D$5:$BA$370,M$4-DATE(Einstellungen!$C$4,1,1)+1,(MATCH($B20,Einstellungen!$B$13:$B$17,0)-1)*10+1))</f>
        <v/>
      </c>
      <c r="N20" s="41" t="str">
        <f aca="false">IF(OR(N$4="",$B20=""),"",INDEX(Jahr!$D$5:$BA$370,N$4-DATE(Einstellungen!$C$4,1,1)+1,(MATCH($B20,Einstellungen!$B$13:$B$17,0)-1)*10+1))</f>
        <v/>
      </c>
      <c r="O20" s="41" t="str">
        <f aca="false">IF(OR(O$4="",$B20=""),"",INDEX(Jahr!$D$5:$BA$370,O$4-DATE(Einstellungen!$C$4,1,1)+1,(MATCH($B20,Einstellungen!$B$13:$B$17,0)-1)*10+1))</f>
        <v/>
      </c>
      <c r="P20" s="41" t="str">
        <f aca="false">IF(OR(P$4="",$B20=""),"",INDEX(Jahr!$D$5:$BA$370,P$4-DATE(Einstellungen!$C$4,1,1)+1,(MATCH($B20,Einstellungen!$B$13:$B$17,0)-1)*10+1))</f>
        <v/>
      </c>
      <c r="Q20" s="41" t="str">
        <f aca="false">IF(OR(Q$4="",$B20=""),"",INDEX(Jahr!$D$5:$BA$370,Q$4-DATE(Einstellungen!$C$4,1,1)+1,(MATCH($B20,Einstellungen!$B$13:$B$17,0)-1)*10+1))</f>
        <v/>
      </c>
      <c r="R20" s="41" t="str">
        <f aca="false">IF(OR(R$4="",$B20=""),"",INDEX(Jahr!$D$5:$BA$370,R$4-DATE(Einstellungen!$C$4,1,1)+1,(MATCH($B20,Einstellungen!$B$13:$B$17,0)-1)*10+1))</f>
        <v/>
      </c>
      <c r="S20" s="41" t="str">
        <f aca="false">IF(OR(S$4="",$B20=""),"",INDEX(Jahr!$D$5:$BA$370,S$4-DATE(Einstellungen!$C$4,1,1)+1,(MATCH($B20,Einstellungen!$B$13:$B$17,0)-1)*10+1))</f>
        <v/>
      </c>
      <c r="T20" s="41" t="str">
        <f aca="false">IF(OR(T$4="",$B20=""),"",INDEX(Jahr!$D$5:$BA$370,T$4-DATE(Einstellungen!$C$4,1,1)+1,(MATCH($B20,Einstellungen!$B$13:$B$17,0)-1)*10+1))</f>
        <v/>
      </c>
      <c r="U20" s="41" t="str">
        <f aca="false">IF(OR(U$4="",$B20=""),"",INDEX(Jahr!$D$5:$BA$370,U$4-DATE(Einstellungen!$C$4,1,1)+1,(MATCH($B20,Einstellungen!$B$13:$B$17,0)-1)*10+1))</f>
        <v/>
      </c>
      <c r="V20" s="41" t="str">
        <f aca="false">IF(OR(V$4="",$B20=""),"",INDEX(Jahr!$D$5:$BA$370,V$4-DATE(Einstellungen!$C$4,1,1)+1,(MATCH($B20,Einstellungen!$B$13:$B$17,0)-1)*10+1))</f>
        <v/>
      </c>
      <c r="W20" s="41" t="str">
        <f aca="false">IF(OR(W$4="",$B20=""),"",INDEX(Jahr!$D$5:$BA$370,W$4-DATE(Einstellungen!$C$4,1,1)+1,(MATCH($B20,Einstellungen!$B$13:$B$17,0)-1)*10+1))</f>
        <v/>
      </c>
      <c r="X20" s="41" t="str">
        <f aca="false">IF(OR(X$4="",$B20=""),"",INDEX(Jahr!$D$5:$BA$370,X$4-DATE(Einstellungen!$C$4,1,1)+1,(MATCH($B20,Einstellungen!$B$13:$B$17,0)-1)*10+1))</f>
        <v/>
      </c>
      <c r="Y20" s="41" t="str">
        <f aca="false">IF(OR(Y$4="",$B20=""),"",INDEX(Jahr!$D$5:$BA$370,Y$4-DATE(Einstellungen!$C$4,1,1)+1,(MATCH($B20,Einstellungen!$B$13:$B$17,0)-1)*10+1))</f>
        <v/>
      </c>
      <c r="Z20" s="41" t="str">
        <f aca="false">IF(OR(Z$4="",$B20=""),"",INDEX(Jahr!$D$5:$BA$370,Z$4-DATE(Einstellungen!$C$4,1,1)+1,(MATCH($B20,Einstellungen!$B$13:$B$17,0)-1)*10+1))</f>
        <v/>
      </c>
      <c r="AA20" s="41" t="str">
        <f aca="false">IF(OR(AA$4="",$B20=""),"",INDEX(Jahr!$D$5:$BA$370,AA$4-DATE(Einstellungen!$C$4,1,1)+1,(MATCH($B20,Einstellungen!$B$13:$B$17,0)-1)*10+1))</f>
        <v/>
      </c>
      <c r="AB20" s="41" t="str">
        <f aca="false">IF(OR(AB$4="",$B20=""),"",INDEX(Jahr!$D$5:$BA$370,AB$4-DATE(Einstellungen!$C$4,1,1)+1,(MATCH($B20,Einstellungen!$B$13:$B$17,0)-1)*10+1))</f>
        <v/>
      </c>
      <c r="AC20" s="41" t="str">
        <f aca="false">IF(OR(AC$4="",$B20=""),"",INDEX(Jahr!$D$5:$BA$370,AC$4-DATE(Einstellungen!$C$4,1,1)+1,(MATCH($B20,Einstellungen!$B$13:$B$17,0)-1)*10+1))</f>
        <v/>
      </c>
      <c r="AD20" s="41" t="str">
        <f aca="false">IF(OR(AD$4="",$B20=""),"",INDEX(Jahr!$D$5:$BA$370,AD$4-DATE(Einstellungen!$C$4,1,1)+1,(MATCH($B20,Einstellungen!$B$13:$B$17,0)-1)*10+1))</f>
        <v/>
      </c>
      <c r="AE20" s="41" t="str">
        <f aca="false">IF(OR(AE$4="",$B20=""),"",INDEX(Jahr!$D$5:$BA$370,AE$4-DATE(Einstellungen!$C$4,1,1)+1,(MATCH($B20,Einstellungen!$B$13:$B$17,0)-1)*10+1))</f>
        <v/>
      </c>
      <c r="AF20" s="41" t="str">
        <f aca="false">IF(OR(AF$4="",$B20=""),"",INDEX(Jahr!$D$5:$BA$370,AF$4-DATE(Einstellungen!$C$4,1,1)+1,(MATCH($B20,Einstellungen!$B$13:$B$17,0)-1)*10+1))</f>
        <v/>
      </c>
      <c r="AG20" s="41" t="str">
        <f aca="false">IF(OR(AG$4="",$B20=""),"",INDEX(Jahr!$D$5:$BA$370,AG$4-DATE(Einstellungen!$C$4,1,1)+1,(MATCH($B20,Einstellungen!$B$13:$B$17,0)-1)*10+1))</f>
        <v/>
      </c>
      <c r="AH20" s="42" t="str">
        <f aca="false">IF($B20="","",SUMPRODUCT(--(SUMIF(Schichten!$A$5:$A$24,$C20:$AG20,Schichten!$F$5:$F$24)&gt;0)))</f>
        <v/>
      </c>
      <c r="AI20" s="43" t="str">
        <f aca="false">IF($B20="","",SUMPRODUCT(SUMIF(Schichten!$A$5:$A$24,$C20:$AG20,Schichten!$F$5:$F$24)))</f>
        <v/>
      </c>
      <c r="AJ20" s="42" t="str">
        <f aca="false">IF($B20="","",SUMPRODUCT(--(SUMIF(Schichten!$A$5:$A$24,$C20:$AG20,Schichten!$G$5:$G$24)&gt;0)))</f>
        <v/>
      </c>
      <c r="AK20" s="44" t="str">
        <f aca="false">IF($B20="","",SUMPRODUCT(SUMIF(Schichten!$A$5:$A$24,$C20:$AG20,Schichten!$G$5:$G$24)))</f>
        <v/>
      </c>
    </row>
    <row r="21" customFormat="false" ht="15" hidden="false" customHeight="false" outlineLevel="0" collapsed="false">
      <c r="A21" s="40"/>
      <c r="B21" s="15"/>
      <c r="C21" s="41" t="str">
        <f aca="false">IF(OR(C$4="",$B21=""),"",INDEX(Jahr!$D$5:$BA$370,C$4-DATE(Einstellungen!$C$4,1,1)+1,(MATCH($B21,Einstellungen!$B$13:$B$17,0)-1)*10+1))</f>
        <v/>
      </c>
      <c r="D21" s="41" t="str">
        <f aca="false">IF(OR(D$4="",$B21=""),"",INDEX(Jahr!$D$5:$BA$370,D$4-DATE(Einstellungen!$C$4,1,1)+1,(MATCH($B21,Einstellungen!$B$13:$B$17,0)-1)*10+1))</f>
        <v/>
      </c>
      <c r="E21" s="41" t="str">
        <f aca="false">IF(OR(E$4="",$B21=""),"",INDEX(Jahr!$D$5:$BA$370,E$4-DATE(Einstellungen!$C$4,1,1)+1,(MATCH($B21,Einstellungen!$B$13:$B$17,0)-1)*10+1))</f>
        <v/>
      </c>
      <c r="F21" s="41" t="str">
        <f aca="false">IF(OR(F$4="",$B21=""),"",INDEX(Jahr!$D$5:$BA$370,F$4-DATE(Einstellungen!$C$4,1,1)+1,(MATCH($B21,Einstellungen!$B$13:$B$17,0)-1)*10+1))</f>
        <v/>
      </c>
      <c r="G21" s="41" t="str">
        <f aca="false">IF(OR(G$4="",$B21=""),"",INDEX(Jahr!$D$5:$BA$370,G$4-DATE(Einstellungen!$C$4,1,1)+1,(MATCH($B21,Einstellungen!$B$13:$B$17,0)-1)*10+1))</f>
        <v/>
      </c>
      <c r="H21" s="41" t="str">
        <f aca="false">IF(OR(H$4="",$B21=""),"",INDEX(Jahr!$D$5:$BA$370,H$4-DATE(Einstellungen!$C$4,1,1)+1,(MATCH($B21,Einstellungen!$B$13:$B$17,0)-1)*10+1))</f>
        <v/>
      </c>
      <c r="I21" s="41" t="str">
        <f aca="false">IF(OR(I$4="",$B21=""),"",INDEX(Jahr!$D$5:$BA$370,I$4-DATE(Einstellungen!$C$4,1,1)+1,(MATCH($B21,Einstellungen!$B$13:$B$17,0)-1)*10+1))</f>
        <v/>
      </c>
      <c r="J21" s="41" t="str">
        <f aca="false">IF(OR(J$4="",$B21=""),"",INDEX(Jahr!$D$5:$BA$370,J$4-DATE(Einstellungen!$C$4,1,1)+1,(MATCH($B21,Einstellungen!$B$13:$B$17,0)-1)*10+1))</f>
        <v/>
      </c>
      <c r="K21" s="41" t="str">
        <f aca="false">IF(OR(K$4="",$B21=""),"",INDEX(Jahr!$D$5:$BA$370,K$4-DATE(Einstellungen!$C$4,1,1)+1,(MATCH($B21,Einstellungen!$B$13:$B$17,0)-1)*10+1))</f>
        <v/>
      </c>
      <c r="L21" s="41" t="str">
        <f aca="false">IF(OR(L$4="",$B21=""),"",INDEX(Jahr!$D$5:$BA$370,L$4-DATE(Einstellungen!$C$4,1,1)+1,(MATCH($B21,Einstellungen!$B$13:$B$17,0)-1)*10+1))</f>
        <v/>
      </c>
      <c r="M21" s="41" t="str">
        <f aca="false">IF(OR(M$4="",$B21=""),"",INDEX(Jahr!$D$5:$BA$370,M$4-DATE(Einstellungen!$C$4,1,1)+1,(MATCH($B21,Einstellungen!$B$13:$B$17,0)-1)*10+1))</f>
        <v/>
      </c>
      <c r="N21" s="41" t="str">
        <f aca="false">IF(OR(N$4="",$B21=""),"",INDEX(Jahr!$D$5:$BA$370,N$4-DATE(Einstellungen!$C$4,1,1)+1,(MATCH($B21,Einstellungen!$B$13:$B$17,0)-1)*10+1))</f>
        <v/>
      </c>
      <c r="O21" s="41" t="str">
        <f aca="false">IF(OR(O$4="",$B21=""),"",INDEX(Jahr!$D$5:$BA$370,O$4-DATE(Einstellungen!$C$4,1,1)+1,(MATCH($B21,Einstellungen!$B$13:$B$17,0)-1)*10+1))</f>
        <v/>
      </c>
      <c r="P21" s="41" t="str">
        <f aca="false">IF(OR(P$4="",$B21=""),"",INDEX(Jahr!$D$5:$BA$370,P$4-DATE(Einstellungen!$C$4,1,1)+1,(MATCH($B21,Einstellungen!$B$13:$B$17,0)-1)*10+1))</f>
        <v/>
      </c>
      <c r="Q21" s="41" t="str">
        <f aca="false">IF(OR(Q$4="",$B21=""),"",INDEX(Jahr!$D$5:$BA$370,Q$4-DATE(Einstellungen!$C$4,1,1)+1,(MATCH($B21,Einstellungen!$B$13:$B$17,0)-1)*10+1))</f>
        <v/>
      </c>
      <c r="R21" s="41" t="str">
        <f aca="false">IF(OR(R$4="",$B21=""),"",INDEX(Jahr!$D$5:$BA$370,R$4-DATE(Einstellungen!$C$4,1,1)+1,(MATCH($B21,Einstellungen!$B$13:$B$17,0)-1)*10+1))</f>
        <v/>
      </c>
      <c r="S21" s="41" t="str">
        <f aca="false">IF(OR(S$4="",$B21=""),"",INDEX(Jahr!$D$5:$BA$370,S$4-DATE(Einstellungen!$C$4,1,1)+1,(MATCH($B21,Einstellungen!$B$13:$B$17,0)-1)*10+1))</f>
        <v/>
      </c>
      <c r="T21" s="41" t="str">
        <f aca="false">IF(OR(T$4="",$B21=""),"",INDEX(Jahr!$D$5:$BA$370,T$4-DATE(Einstellungen!$C$4,1,1)+1,(MATCH($B21,Einstellungen!$B$13:$B$17,0)-1)*10+1))</f>
        <v/>
      </c>
      <c r="U21" s="41" t="str">
        <f aca="false">IF(OR(U$4="",$B21=""),"",INDEX(Jahr!$D$5:$BA$370,U$4-DATE(Einstellungen!$C$4,1,1)+1,(MATCH($B21,Einstellungen!$B$13:$B$17,0)-1)*10+1))</f>
        <v/>
      </c>
      <c r="V21" s="41" t="str">
        <f aca="false">IF(OR(V$4="",$B21=""),"",INDEX(Jahr!$D$5:$BA$370,V$4-DATE(Einstellungen!$C$4,1,1)+1,(MATCH($B21,Einstellungen!$B$13:$B$17,0)-1)*10+1))</f>
        <v/>
      </c>
      <c r="W21" s="41" t="str">
        <f aca="false">IF(OR(W$4="",$B21=""),"",INDEX(Jahr!$D$5:$BA$370,W$4-DATE(Einstellungen!$C$4,1,1)+1,(MATCH($B21,Einstellungen!$B$13:$B$17,0)-1)*10+1))</f>
        <v/>
      </c>
      <c r="X21" s="41" t="str">
        <f aca="false">IF(OR(X$4="",$B21=""),"",INDEX(Jahr!$D$5:$BA$370,X$4-DATE(Einstellungen!$C$4,1,1)+1,(MATCH($B21,Einstellungen!$B$13:$B$17,0)-1)*10+1))</f>
        <v/>
      </c>
      <c r="Y21" s="41" t="str">
        <f aca="false">IF(OR(Y$4="",$B21=""),"",INDEX(Jahr!$D$5:$BA$370,Y$4-DATE(Einstellungen!$C$4,1,1)+1,(MATCH($B21,Einstellungen!$B$13:$B$17,0)-1)*10+1))</f>
        <v/>
      </c>
      <c r="Z21" s="41" t="str">
        <f aca="false">IF(OR(Z$4="",$B21=""),"",INDEX(Jahr!$D$5:$BA$370,Z$4-DATE(Einstellungen!$C$4,1,1)+1,(MATCH($B21,Einstellungen!$B$13:$B$17,0)-1)*10+1))</f>
        <v/>
      </c>
      <c r="AA21" s="41" t="str">
        <f aca="false">IF(OR(AA$4="",$B21=""),"",INDEX(Jahr!$D$5:$BA$370,AA$4-DATE(Einstellungen!$C$4,1,1)+1,(MATCH($B21,Einstellungen!$B$13:$B$17,0)-1)*10+1))</f>
        <v/>
      </c>
      <c r="AB21" s="41" t="str">
        <f aca="false">IF(OR(AB$4="",$B21=""),"",INDEX(Jahr!$D$5:$BA$370,AB$4-DATE(Einstellungen!$C$4,1,1)+1,(MATCH($B21,Einstellungen!$B$13:$B$17,0)-1)*10+1))</f>
        <v/>
      </c>
      <c r="AC21" s="41" t="str">
        <f aca="false">IF(OR(AC$4="",$B21=""),"",INDEX(Jahr!$D$5:$BA$370,AC$4-DATE(Einstellungen!$C$4,1,1)+1,(MATCH($B21,Einstellungen!$B$13:$B$17,0)-1)*10+1))</f>
        <v/>
      </c>
      <c r="AD21" s="41" t="str">
        <f aca="false">IF(OR(AD$4="",$B21=""),"",INDEX(Jahr!$D$5:$BA$370,AD$4-DATE(Einstellungen!$C$4,1,1)+1,(MATCH($B21,Einstellungen!$B$13:$B$17,0)-1)*10+1))</f>
        <v/>
      </c>
      <c r="AE21" s="41" t="str">
        <f aca="false">IF(OR(AE$4="",$B21=""),"",INDEX(Jahr!$D$5:$BA$370,AE$4-DATE(Einstellungen!$C$4,1,1)+1,(MATCH($B21,Einstellungen!$B$13:$B$17,0)-1)*10+1))</f>
        <v/>
      </c>
      <c r="AF21" s="41" t="str">
        <f aca="false">IF(OR(AF$4="",$B21=""),"",INDEX(Jahr!$D$5:$BA$370,AF$4-DATE(Einstellungen!$C$4,1,1)+1,(MATCH($B21,Einstellungen!$B$13:$B$17,0)-1)*10+1))</f>
        <v/>
      </c>
      <c r="AG21" s="41" t="str">
        <f aca="false">IF(OR(AG$4="",$B21=""),"",INDEX(Jahr!$D$5:$BA$370,AG$4-DATE(Einstellungen!$C$4,1,1)+1,(MATCH($B21,Einstellungen!$B$13:$B$17,0)-1)*10+1))</f>
        <v/>
      </c>
      <c r="AH21" s="42" t="str">
        <f aca="false">IF($B21="","",SUMPRODUCT(--(SUMIF(Schichten!$A$5:$A$24,$C21:$AG21,Schichten!$F$5:$F$24)&gt;0)))</f>
        <v/>
      </c>
      <c r="AI21" s="43" t="str">
        <f aca="false">IF($B21="","",SUMPRODUCT(SUMIF(Schichten!$A$5:$A$24,$C21:$AG21,Schichten!$F$5:$F$24)))</f>
        <v/>
      </c>
      <c r="AJ21" s="42" t="str">
        <f aca="false">IF($B21="","",SUMPRODUCT(--(SUMIF(Schichten!$A$5:$A$24,$C21:$AG21,Schichten!$G$5:$G$24)&gt;0)))</f>
        <v/>
      </c>
      <c r="AK21" s="44" t="str">
        <f aca="false">IF($B21="","",SUMPRODUCT(SUMIF(Schichten!$A$5:$A$24,$C21:$AG21,Schichten!$G$5:$G$24)))</f>
        <v/>
      </c>
    </row>
    <row r="22" customFormat="false" ht="15" hidden="false" customHeight="false" outlineLevel="0" collapsed="false">
      <c r="A22" s="40"/>
      <c r="B22" s="15"/>
      <c r="C22" s="41" t="str">
        <f aca="false">IF(OR(C$4="",$B22=""),"",INDEX(Jahr!$D$5:$BA$370,C$4-DATE(Einstellungen!$C$4,1,1)+1,(MATCH($B22,Einstellungen!$B$13:$B$17,0)-1)*10+1))</f>
        <v/>
      </c>
      <c r="D22" s="41" t="str">
        <f aca="false">IF(OR(D$4="",$B22=""),"",INDEX(Jahr!$D$5:$BA$370,D$4-DATE(Einstellungen!$C$4,1,1)+1,(MATCH($B22,Einstellungen!$B$13:$B$17,0)-1)*10+1))</f>
        <v/>
      </c>
      <c r="E22" s="41" t="str">
        <f aca="false">IF(OR(E$4="",$B22=""),"",INDEX(Jahr!$D$5:$BA$370,E$4-DATE(Einstellungen!$C$4,1,1)+1,(MATCH($B22,Einstellungen!$B$13:$B$17,0)-1)*10+1))</f>
        <v/>
      </c>
      <c r="F22" s="41" t="str">
        <f aca="false">IF(OR(F$4="",$B22=""),"",INDEX(Jahr!$D$5:$BA$370,F$4-DATE(Einstellungen!$C$4,1,1)+1,(MATCH($B22,Einstellungen!$B$13:$B$17,0)-1)*10+1))</f>
        <v/>
      </c>
      <c r="G22" s="41" t="str">
        <f aca="false">IF(OR(G$4="",$B22=""),"",INDEX(Jahr!$D$5:$BA$370,G$4-DATE(Einstellungen!$C$4,1,1)+1,(MATCH($B22,Einstellungen!$B$13:$B$17,0)-1)*10+1))</f>
        <v/>
      </c>
      <c r="H22" s="41" t="str">
        <f aca="false">IF(OR(H$4="",$B22=""),"",INDEX(Jahr!$D$5:$BA$370,H$4-DATE(Einstellungen!$C$4,1,1)+1,(MATCH($B22,Einstellungen!$B$13:$B$17,0)-1)*10+1))</f>
        <v/>
      </c>
      <c r="I22" s="41" t="str">
        <f aca="false">IF(OR(I$4="",$B22=""),"",INDEX(Jahr!$D$5:$BA$370,I$4-DATE(Einstellungen!$C$4,1,1)+1,(MATCH($B22,Einstellungen!$B$13:$B$17,0)-1)*10+1))</f>
        <v/>
      </c>
      <c r="J22" s="41" t="str">
        <f aca="false">IF(OR(J$4="",$B22=""),"",INDEX(Jahr!$D$5:$BA$370,J$4-DATE(Einstellungen!$C$4,1,1)+1,(MATCH($B22,Einstellungen!$B$13:$B$17,0)-1)*10+1))</f>
        <v/>
      </c>
      <c r="K22" s="41" t="str">
        <f aca="false">IF(OR(K$4="",$B22=""),"",INDEX(Jahr!$D$5:$BA$370,K$4-DATE(Einstellungen!$C$4,1,1)+1,(MATCH($B22,Einstellungen!$B$13:$B$17,0)-1)*10+1))</f>
        <v/>
      </c>
      <c r="L22" s="41" t="str">
        <f aca="false">IF(OR(L$4="",$B22=""),"",INDEX(Jahr!$D$5:$BA$370,L$4-DATE(Einstellungen!$C$4,1,1)+1,(MATCH($B22,Einstellungen!$B$13:$B$17,0)-1)*10+1))</f>
        <v/>
      </c>
      <c r="M22" s="41" t="str">
        <f aca="false">IF(OR(M$4="",$B22=""),"",INDEX(Jahr!$D$5:$BA$370,M$4-DATE(Einstellungen!$C$4,1,1)+1,(MATCH($B22,Einstellungen!$B$13:$B$17,0)-1)*10+1))</f>
        <v/>
      </c>
      <c r="N22" s="41" t="str">
        <f aca="false">IF(OR(N$4="",$B22=""),"",INDEX(Jahr!$D$5:$BA$370,N$4-DATE(Einstellungen!$C$4,1,1)+1,(MATCH($B22,Einstellungen!$B$13:$B$17,0)-1)*10+1))</f>
        <v/>
      </c>
      <c r="O22" s="41" t="str">
        <f aca="false">IF(OR(O$4="",$B22=""),"",INDEX(Jahr!$D$5:$BA$370,O$4-DATE(Einstellungen!$C$4,1,1)+1,(MATCH($B22,Einstellungen!$B$13:$B$17,0)-1)*10+1))</f>
        <v/>
      </c>
      <c r="P22" s="41" t="str">
        <f aca="false">IF(OR(P$4="",$B22=""),"",INDEX(Jahr!$D$5:$BA$370,P$4-DATE(Einstellungen!$C$4,1,1)+1,(MATCH($B22,Einstellungen!$B$13:$B$17,0)-1)*10+1))</f>
        <v/>
      </c>
      <c r="Q22" s="41" t="str">
        <f aca="false">IF(OR(Q$4="",$B22=""),"",INDEX(Jahr!$D$5:$BA$370,Q$4-DATE(Einstellungen!$C$4,1,1)+1,(MATCH($B22,Einstellungen!$B$13:$B$17,0)-1)*10+1))</f>
        <v/>
      </c>
      <c r="R22" s="41" t="str">
        <f aca="false">IF(OR(R$4="",$B22=""),"",INDEX(Jahr!$D$5:$BA$370,R$4-DATE(Einstellungen!$C$4,1,1)+1,(MATCH($B22,Einstellungen!$B$13:$B$17,0)-1)*10+1))</f>
        <v/>
      </c>
      <c r="S22" s="41" t="str">
        <f aca="false">IF(OR(S$4="",$B22=""),"",INDEX(Jahr!$D$5:$BA$370,S$4-DATE(Einstellungen!$C$4,1,1)+1,(MATCH($B22,Einstellungen!$B$13:$B$17,0)-1)*10+1))</f>
        <v/>
      </c>
      <c r="T22" s="41" t="str">
        <f aca="false">IF(OR(T$4="",$B22=""),"",INDEX(Jahr!$D$5:$BA$370,T$4-DATE(Einstellungen!$C$4,1,1)+1,(MATCH($B22,Einstellungen!$B$13:$B$17,0)-1)*10+1))</f>
        <v/>
      </c>
      <c r="U22" s="41" t="str">
        <f aca="false">IF(OR(U$4="",$B22=""),"",INDEX(Jahr!$D$5:$BA$370,U$4-DATE(Einstellungen!$C$4,1,1)+1,(MATCH($B22,Einstellungen!$B$13:$B$17,0)-1)*10+1))</f>
        <v/>
      </c>
      <c r="V22" s="41" t="str">
        <f aca="false">IF(OR(V$4="",$B22=""),"",INDEX(Jahr!$D$5:$BA$370,V$4-DATE(Einstellungen!$C$4,1,1)+1,(MATCH($B22,Einstellungen!$B$13:$B$17,0)-1)*10+1))</f>
        <v/>
      </c>
      <c r="W22" s="41" t="str">
        <f aca="false">IF(OR(W$4="",$B22=""),"",INDEX(Jahr!$D$5:$BA$370,W$4-DATE(Einstellungen!$C$4,1,1)+1,(MATCH($B22,Einstellungen!$B$13:$B$17,0)-1)*10+1))</f>
        <v/>
      </c>
      <c r="X22" s="41" t="str">
        <f aca="false">IF(OR(X$4="",$B22=""),"",INDEX(Jahr!$D$5:$BA$370,X$4-DATE(Einstellungen!$C$4,1,1)+1,(MATCH($B22,Einstellungen!$B$13:$B$17,0)-1)*10+1))</f>
        <v/>
      </c>
      <c r="Y22" s="41" t="str">
        <f aca="false">IF(OR(Y$4="",$B22=""),"",INDEX(Jahr!$D$5:$BA$370,Y$4-DATE(Einstellungen!$C$4,1,1)+1,(MATCH($B22,Einstellungen!$B$13:$B$17,0)-1)*10+1))</f>
        <v/>
      </c>
      <c r="Z22" s="41" t="str">
        <f aca="false">IF(OR(Z$4="",$B22=""),"",INDEX(Jahr!$D$5:$BA$370,Z$4-DATE(Einstellungen!$C$4,1,1)+1,(MATCH($B22,Einstellungen!$B$13:$B$17,0)-1)*10+1))</f>
        <v/>
      </c>
      <c r="AA22" s="41" t="str">
        <f aca="false">IF(OR(AA$4="",$B22=""),"",INDEX(Jahr!$D$5:$BA$370,AA$4-DATE(Einstellungen!$C$4,1,1)+1,(MATCH($B22,Einstellungen!$B$13:$B$17,0)-1)*10+1))</f>
        <v/>
      </c>
      <c r="AB22" s="41" t="str">
        <f aca="false">IF(OR(AB$4="",$B22=""),"",INDEX(Jahr!$D$5:$BA$370,AB$4-DATE(Einstellungen!$C$4,1,1)+1,(MATCH($B22,Einstellungen!$B$13:$B$17,0)-1)*10+1))</f>
        <v/>
      </c>
      <c r="AC22" s="41" t="str">
        <f aca="false">IF(OR(AC$4="",$B22=""),"",INDEX(Jahr!$D$5:$BA$370,AC$4-DATE(Einstellungen!$C$4,1,1)+1,(MATCH($B22,Einstellungen!$B$13:$B$17,0)-1)*10+1))</f>
        <v/>
      </c>
      <c r="AD22" s="41" t="str">
        <f aca="false">IF(OR(AD$4="",$B22=""),"",INDEX(Jahr!$D$5:$BA$370,AD$4-DATE(Einstellungen!$C$4,1,1)+1,(MATCH($B22,Einstellungen!$B$13:$B$17,0)-1)*10+1))</f>
        <v/>
      </c>
      <c r="AE22" s="41" t="str">
        <f aca="false">IF(OR(AE$4="",$B22=""),"",INDEX(Jahr!$D$5:$BA$370,AE$4-DATE(Einstellungen!$C$4,1,1)+1,(MATCH($B22,Einstellungen!$B$13:$B$17,0)-1)*10+1))</f>
        <v/>
      </c>
      <c r="AF22" s="41" t="str">
        <f aca="false">IF(OR(AF$4="",$B22=""),"",INDEX(Jahr!$D$5:$BA$370,AF$4-DATE(Einstellungen!$C$4,1,1)+1,(MATCH($B22,Einstellungen!$B$13:$B$17,0)-1)*10+1))</f>
        <v/>
      </c>
      <c r="AG22" s="41" t="str">
        <f aca="false">IF(OR(AG$4="",$B22=""),"",INDEX(Jahr!$D$5:$BA$370,AG$4-DATE(Einstellungen!$C$4,1,1)+1,(MATCH($B22,Einstellungen!$B$13:$B$17,0)-1)*10+1))</f>
        <v/>
      </c>
      <c r="AH22" s="42" t="str">
        <f aca="false">IF($B22="","",SUMPRODUCT(--(SUMIF(Schichten!$A$5:$A$24,$C22:$AG22,Schichten!$F$5:$F$24)&gt;0)))</f>
        <v/>
      </c>
      <c r="AI22" s="43" t="str">
        <f aca="false">IF($B22="","",SUMPRODUCT(SUMIF(Schichten!$A$5:$A$24,$C22:$AG22,Schichten!$F$5:$F$24)))</f>
        <v/>
      </c>
      <c r="AJ22" s="42" t="str">
        <f aca="false">IF($B22="","",SUMPRODUCT(--(SUMIF(Schichten!$A$5:$A$24,$C22:$AG22,Schichten!$G$5:$G$24)&gt;0)))</f>
        <v/>
      </c>
      <c r="AK22" s="44" t="str">
        <f aca="false">IF($B22="","",SUMPRODUCT(SUMIF(Schichten!$A$5:$A$24,$C22:$AG22,Schichten!$G$5:$G$24)))</f>
        <v/>
      </c>
    </row>
    <row r="23" customFormat="false" ht="15" hidden="false" customHeight="false" outlineLevel="0" collapsed="false">
      <c r="A23" s="40"/>
      <c r="B23" s="15"/>
      <c r="C23" s="41" t="str">
        <f aca="false">IF(OR(C$4="",$B23=""),"",INDEX(Jahr!$D$5:$BA$370,C$4-DATE(Einstellungen!$C$4,1,1)+1,(MATCH($B23,Einstellungen!$B$13:$B$17,0)-1)*10+1))</f>
        <v/>
      </c>
      <c r="D23" s="41" t="str">
        <f aca="false">IF(OR(D$4="",$B23=""),"",INDEX(Jahr!$D$5:$BA$370,D$4-DATE(Einstellungen!$C$4,1,1)+1,(MATCH($B23,Einstellungen!$B$13:$B$17,0)-1)*10+1))</f>
        <v/>
      </c>
      <c r="E23" s="41" t="str">
        <f aca="false">IF(OR(E$4="",$B23=""),"",INDEX(Jahr!$D$5:$BA$370,E$4-DATE(Einstellungen!$C$4,1,1)+1,(MATCH($B23,Einstellungen!$B$13:$B$17,0)-1)*10+1))</f>
        <v/>
      </c>
      <c r="F23" s="41" t="str">
        <f aca="false">IF(OR(F$4="",$B23=""),"",INDEX(Jahr!$D$5:$BA$370,F$4-DATE(Einstellungen!$C$4,1,1)+1,(MATCH($B23,Einstellungen!$B$13:$B$17,0)-1)*10+1))</f>
        <v/>
      </c>
      <c r="G23" s="41" t="str">
        <f aca="false">IF(OR(G$4="",$B23=""),"",INDEX(Jahr!$D$5:$BA$370,G$4-DATE(Einstellungen!$C$4,1,1)+1,(MATCH($B23,Einstellungen!$B$13:$B$17,0)-1)*10+1))</f>
        <v/>
      </c>
      <c r="H23" s="41" t="str">
        <f aca="false">IF(OR(H$4="",$B23=""),"",INDEX(Jahr!$D$5:$BA$370,H$4-DATE(Einstellungen!$C$4,1,1)+1,(MATCH($B23,Einstellungen!$B$13:$B$17,0)-1)*10+1))</f>
        <v/>
      </c>
      <c r="I23" s="41" t="str">
        <f aca="false">IF(OR(I$4="",$B23=""),"",INDEX(Jahr!$D$5:$BA$370,I$4-DATE(Einstellungen!$C$4,1,1)+1,(MATCH($B23,Einstellungen!$B$13:$B$17,0)-1)*10+1))</f>
        <v/>
      </c>
      <c r="J23" s="41" t="str">
        <f aca="false">IF(OR(J$4="",$B23=""),"",INDEX(Jahr!$D$5:$BA$370,J$4-DATE(Einstellungen!$C$4,1,1)+1,(MATCH($B23,Einstellungen!$B$13:$B$17,0)-1)*10+1))</f>
        <v/>
      </c>
      <c r="K23" s="41" t="str">
        <f aca="false">IF(OR(K$4="",$B23=""),"",INDEX(Jahr!$D$5:$BA$370,K$4-DATE(Einstellungen!$C$4,1,1)+1,(MATCH($B23,Einstellungen!$B$13:$B$17,0)-1)*10+1))</f>
        <v/>
      </c>
      <c r="L23" s="41" t="str">
        <f aca="false">IF(OR(L$4="",$B23=""),"",INDEX(Jahr!$D$5:$BA$370,L$4-DATE(Einstellungen!$C$4,1,1)+1,(MATCH($B23,Einstellungen!$B$13:$B$17,0)-1)*10+1))</f>
        <v/>
      </c>
      <c r="M23" s="41" t="str">
        <f aca="false">IF(OR(M$4="",$B23=""),"",INDEX(Jahr!$D$5:$BA$370,M$4-DATE(Einstellungen!$C$4,1,1)+1,(MATCH($B23,Einstellungen!$B$13:$B$17,0)-1)*10+1))</f>
        <v/>
      </c>
      <c r="N23" s="41" t="str">
        <f aca="false">IF(OR(N$4="",$B23=""),"",INDEX(Jahr!$D$5:$BA$370,N$4-DATE(Einstellungen!$C$4,1,1)+1,(MATCH($B23,Einstellungen!$B$13:$B$17,0)-1)*10+1))</f>
        <v/>
      </c>
      <c r="O23" s="41" t="str">
        <f aca="false">IF(OR(O$4="",$B23=""),"",INDEX(Jahr!$D$5:$BA$370,O$4-DATE(Einstellungen!$C$4,1,1)+1,(MATCH($B23,Einstellungen!$B$13:$B$17,0)-1)*10+1))</f>
        <v/>
      </c>
      <c r="P23" s="41" t="str">
        <f aca="false">IF(OR(P$4="",$B23=""),"",INDEX(Jahr!$D$5:$BA$370,P$4-DATE(Einstellungen!$C$4,1,1)+1,(MATCH($B23,Einstellungen!$B$13:$B$17,0)-1)*10+1))</f>
        <v/>
      </c>
      <c r="Q23" s="41" t="str">
        <f aca="false">IF(OR(Q$4="",$B23=""),"",INDEX(Jahr!$D$5:$BA$370,Q$4-DATE(Einstellungen!$C$4,1,1)+1,(MATCH($B23,Einstellungen!$B$13:$B$17,0)-1)*10+1))</f>
        <v/>
      </c>
      <c r="R23" s="41" t="str">
        <f aca="false">IF(OR(R$4="",$B23=""),"",INDEX(Jahr!$D$5:$BA$370,R$4-DATE(Einstellungen!$C$4,1,1)+1,(MATCH($B23,Einstellungen!$B$13:$B$17,0)-1)*10+1))</f>
        <v/>
      </c>
      <c r="S23" s="41" t="str">
        <f aca="false">IF(OR(S$4="",$B23=""),"",INDEX(Jahr!$D$5:$BA$370,S$4-DATE(Einstellungen!$C$4,1,1)+1,(MATCH($B23,Einstellungen!$B$13:$B$17,0)-1)*10+1))</f>
        <v/>
      </c>
      <c r="T23" s="41" t="str">
        <f aca="false">IF(OR(T$4="",$B23=""),"",INDEX(Jahr!$D$5:$BA$370,T$4-DATE(Einstellungen!$C$4,1,1)+1,(MATCH($B23,Einstellungen!$B$13:$B$17,0)-1)*10+1))</f>
        <v/>
      </c>
      <c r="U23" s="41" t="str">
        <f aca="false">IF(OR(U$4="",$B23=""),"",INDEX(Jahr!$D$5:$BA$370,U$4-DATE(Einstellungen!$C$4,1,1)+1,(MATCH($B23,Einstellungen!$B$13:$B$17,0)-1)*10+1))</f>
        <v/>
      </c>
      <c r="V23" s="41" t="str">
        <f aca="false">IF(OR(V$4="",$B23=""),"",INDEX(Jahr!$D$5:$BA$370,V$4-DATE(Einstellungen!$C$4,1,1)+1,(MATCH($B23,Einstellungen!$B$13:$B$17,0)-1)*10+1))</f>
        <v/>
      </c>
      <c r="W23" s="41" t="str">
        <f aca="false">IF(OR(W$4="",$B23=""),"",INDEX(Jahr!$D$5:$BA$370,W$4-DATE(Einstellungen!$C$4,1,1)+1,(MATCH($B23,Einstellungen!$B$13:$B$17,0)-1)*10+1))</f>
        <v/>
      </c>
      <c r="X23" s="41" t="str">
        <f aca="false">IF(OR(X$4="",$B23=""),"",INDEX(Jahr!$D$5:$BA$370,X$4-DATE(Einstellungen!$C$4,1,1)+1,(MATCH($B23,Einstellungen!$B$13:$B$17,0)-1)*10+1))</f>
        <v/>
      </c>
      <c r="Y23" s="41" t="str">
        <f aca="false">IF(OR(Y$4="",$B23=""),"",INDEX(Jahr!$D$5:$BA$370,Y$4-DATE(Einstellungen!$C$4,1,1)+1,(MATCH($B23,Einstellungen!$B$13:$B$17,0)-1)*10+1))</f>
        <v/>
      </c>
      <c r="Z23" s="41" t="str">
        <f aca="false">IF(OR(Z$4="",$B23=""),"",INDEX(Jahr!$D$5:$BA$370,Z$4-DATE(Einstellungen!$C$4,1,1)+1,(MATCH($B23,Einstellungen!$B$13:$B$17,0)-1)*10+1))</f>
        <v/>
      </c>
      <c r="AA23" s="41" t="str">
        <f aca="false">IF(OR(AA$4="",$B23=""),"",INDEX(Jahr!$D$5:$BA$370,AA$4-DATE(Einstellungen!$C$4,1,1)+1,(MATCH($B23,Einstellungen!$B$13:$B$17,0)-1)*10+1))</f>
        <v/>
      </c>
      <c r="AB23" s="41" t="str">
        <f aca="false">IF(OR(AB$4="",$B23=""),"",INDEX(Jahr!$D$5:$BA$370,AB$4-DATE(Einstellungen!$C$4,1,1)+1,(MATCH($B23,Einstellungen!$B$13:$B$17,0)-1)*10+1))</f>
        <v/>
      </c>
      <c r="AC23" s="41" t="str">
        <f aca="false">IF(OR(AC$4="",$B23=""),"",INDEX(Jahr!$D$5:$BA$370,AC$4-DATE(Einstellungen!$C$4,1,1)+1,(MATCH($B23,Einstellungen!$B$13:$B$17,0)-1)*10+1))</f>
        <v/>
      </c>
      <c r="AD23" s="41" t="str">
        <f aca="false">IF(OR(AD$4="",$B23=""),"",INDEX(Jahr!$D$5:$BA$370,AD$4-DATE(Einstellungen!$C$4,1,1)+1,(MATCH($B23,Einstellungen!$B$13:$B$17,0)-1)*10+1))</f>
        <v/>
      </c>
      <c r="AE23" s="41" t="str">
        <f aca="false">IF(OR(AE$4="",$B23=""),"",INDEX(Jahr!$D$5:$BA$370,AE$4-DATE(Einstellungen!$C$4,1,1)+1,(MATCH($B23,Einstellungen!$B$13:$B$17,0)-1)*10+1))</f>
        <v/>
      </c>
      <c r="AF23" s="41" t="str">
        <f aca="false">IF(OR(AF$4="",$B23=""),"",INDEX(Jahr!$D$5:$BA$370,AF$4-DATE(Einstellungen!$C$4,1,1)+1,(MATCH($B23,Einstellungen!$B$13:$B$17,0)-1)*10+1))</f>
        <v/>
      </c>
      <c r="AG23" s="41" t="str">
        <f aca="false">IF(OR(AG$4="",$B23=""),"",INDEX(Jahr!$D$5:$BA$370,AG$4-DATE(Einstellungen!$C$4,1,1)+1,(MATCH($B23,Einstellungen!$B$13:$B$17,0)-1)*10+1))</f>
        <v/>
      </c>
      <c r="AH23" s="42" t="str">
        <f aca="false">IF($B23="","",SUMPRODUCT(--(SUMIF(Schichten!$A$5:$A$24,$C23:$AG23,Schichten!$F$5:$F$24)&gt;0)))</f>
        <v/>
      </c>
      <c r="AI23" s="43" t="str">
        <f aca="false">IF($B23="","",SUMPRODUCT(SUMIF(Schichten!$A$5:$A$24,$C23:$AG23,Schichten!$F$5:$F$24)))</f>
        <v/>
      </c>
      <c r="AJ23" s="42" t="str">
        <f aca="false">IF($B23="","",SUMPRODUCT(--(SUMIF(Schichten!$A$5:$A$24,$C23:$AG23,Schichten!$G$5:$G$24)&gt;0)))</f>
        <v/>
      </c>
      <c r="AK23" s="44" t="str">
        <f aca="false">IF($B23="","",SUMPRODUCT(SUMIF(Schichten!$A$5:$A$24,$C23:$AG23,Schichten!$G$5:$G$24)))</f>
        <v/>
      </c>
    </row>
    <row r="24" customFormat="false" ht="15" hidden="false" customHeight="false" outlineLevel="0" collapsed="false">
      <c r="A24" s="40"/>
      <c r="B24" s="15"/>
      <c r="C24" s="41" t="str">
        <f aca="false">IF(OR(C$4="",$B24=""),"",INDEX(Jahr!$D$5:$BA$370,C$4-DATE(Einstellungen!$C$4,1,1)+1,(MATCH($B24,Einstellungen!$B$13:$B$17,0)-1)*10+1))</f>
        <v/>
      </c>
      <c r="D24" s="41" t="str">
        <f aca="false">IF(OR(D$4="",$B24=""),"",INDEX(Jahr!$D$5:$BA$370,D$4-DATE(Einstellungen!$C$4,1,1)+1,(MATCH($B24,Einstellungen!$B$13:$B$17,0)-1)*10+1))</f>
        <v/>
      </c>
      <c r="E24" s="41" t="str">
        <f aca="false">IF(OR(E$4="",$B24=""),"",INDEX(Jahr!$D$5:$BA$370,E$4-DATE(Einstellungen!$C$4,1,1)+1,(MATCH($B24,Einstellungen!$B$13:$B$17,0)-1)*10+1))</f>
        <v/>
      </c>
      <c r="F24" s="41" t="str">
        <f aca="false">IF(OR(F$4="",$B24=""),"",INDEX(Jahr!$D$5:$BA$370,F$4-DATE(Einstellungen!$C$4,1,1)+1,(MATCH($B24,Einstellungen!$B$13:$B$17,0)-1)*10+1))</f>
        <v/>
      </c>
      <c r="G24" s="41" t="str">
        <f aca="false">IF(OR(G$4="",$B24=""),"",INDEX(Jahr!$D$5:$BA$370,G$4-DATE(Einstellungen!$C$4,1,1)+1,(MATCH($B24,Einstellungen!$B$13:$B$17,0)-1)*10+1))</f>
        <v/>
      </c>
      <c r="H24" s="41" t="str">
        <f aca="false">IF(OR(H$4="",$B24=""),"",INDEX(Jahr!$D$5:$BA$370,H$4-DATE(Einstellungen!$C$4,1,1)+1,(MATCH($B24,Einstellungen!$B$13:$B$17,0)-1)*10+1))</f>
        <v/>
      </c>
      <c r="I24" s="41" t="str">
        <f aca="false">IF(OR(I$4="",$B24=""),"",INDEX(Jahr!$D$5:$BA$370,I$4-DATE(Einstellungen!$C$4,1,1)+1,(MATCH($B24,Einstellungen!$B$13:$B$17,0)-1)*10+1))</f>
        <v/>
      </c>
      <c r="J24" s="41" t="str">
        <f aca="false">IF(OR(J$4="",$B24=""),"",INDEX(Jahr!$D$5:$BA$370,J$4-DATE(Einstellungen!$C$4,1,1)+1,(MATCH($B24,Einstellungen!$B$13:$B$17,0)-1)*10+1))</f>
        <v/>
      </c>
      <c r="K24" s="41" t="str">
        <f aca="false">IF(OR(K$4="",$B24=""),"",INDEX(Jahr!$D$5:$BA$370,K$4-DATE(Einstellungen!$C$4,1,1)+1,(MATCH($B24,Einstellungen!$B$13:$B$17,0)-1)*10+1))</f>
        <v/>
      </c>
      <c r="L24" s="41" t="str">
        <f aca="false">IF(OR(L$4="",$B24=""),"",INDEX(Jahr!$D$5:$BA$370,L$4-DATE(Einstellungen!$C$4,1,1)+1,(MATCH($B24,Einstellungen!$B$13:$B$17,0)-1)*10+1))</f>
        <v/>
      </c>
      <c r="M24" s="41" t="str">
        <f aca="false">IF(OR(M$4="",$B24=""),"",INDEX(Jahr!$D$5:$BA$370,M$4-DATE(Einstellungen!$C$4,1,1)+1,(MATCH($B24,Einstellungen!$B$13:$B$17,0)-1)*10+1))</f>
        <v/>
      </c>
      <c r="N24" s="41" t="str">
        <f aca="false">IF(OR(N$4="",$B24=""),"",INDEX(Jahr!$D$5:$BA$370,N$4-DATE(Einstellungen!$C$4,1,1)+1,(MATCH($B24,Einstellungen!$B$13:$B$17,0)-1)*10+1))</f>
        <v/>
      </c>
      <c r="O24" s="41" t="str">
        <f aca="false">IF(OR(O$4="",$B24=""),"",INDEX(Jahr!$D$5:$BA$370,O$4-DATE(Einstellungen!$C$4,1,1)+1,(MATCH($B24,Einstellungen!$B$13:$B$17,0)-1)*10+1))</f>
        <v/>
      </c>
      <c r="P24" s="41" t="str">
        <f aca="false">IF(OR(P$4="",$B24=""),"",INDEX(Jahr!$D$5:$BA$370,P$4-DATE(Einstellungen!$C$4,1,1)+1,(MATCH($B24,Einstellungen!$B$13:$B$17,0)-1)*10+1))</f>
        <v/>
      </c>
      <c r="Q24" s="41" t="str">
        <f aca="false">IF(OR(Q$4="",$B24=""),"",INDEX(Jahr!$D$5:$BA$370,Q$4-DATE(Einstellungen!$C$4,1,1)+1,(MATCH($B24,Einstellungen!$B$13:$B$17,0)-1)*10+1))</f>
        <v/>
      </c>
      <c r="R24" s="41" t="str">
        <f aca="false">IF(OR(R$4="",$B24=""),"",INDEX(Jahr!$D$5:$BA$370,R$4-DATE(Einstellungen!$C$4,1,1)+1,(MATCH($B24,Einstellungen!$B$13:$B$17,0)-1)*10+1))</f>
        <v/>
      </c>
      <c r="S24" s="41" t="str">
        <f aca="false">IF(OR(S$4="",$B24=""),"",INDEX(Jahr!$D$5:$BA$370,S$4-DATE(Einstellungen!$C$4,1,1)+1,(MATCH($B24,Einstellungen!$B$13:$B$17,0)-1)*10+1))</f>
        <v/>
      </c>
      <c r="T24" s="41" t="str">
        <f aca="false">IF(OR(T$4="",$B24=""),"",INDEX(Jahr!$D$5:$BA$370,T$4-DATE(Einstellungen!$C$4,1,1)+1,(MATCH($B24,Einstellungen!$B$13:$B$17,0)-1)*10+1))</f>
        <v/>
      </c>
      <c r="U24" s="41" t="str">
        <f aca="false">IF(OR(U$4="",$B24=""),"",INDEX(Jahr!$D$5:$BA$370,U$4-DATE(Einstellungen!$C$4,1,1)+1,(MATCH($B24,Einstellungen!$B$13:$B$17,0)-1)*10+1))</f>
        <v/>
      </c>
      <c r="V24" s="41" t="str">
        <f aca="false">IF(OR(V$4="",$B24=""),"",INDEX(Jahr!$D$5:$BA$370,V$4-DATE(Einstellungen!$C$4,1,1)+1,(MATCH($B24,Einstellungen!$B$13:$B$17,0)-1)*10+1))</f>
        <v/>
      </c>
      <c r="W24" s="41" t="str">
        <f aca="false">IF(OR(W$4="",$B24=""),"",INDEX(Jahr!$D$5:$BA$370,W$4-DATE(Einstellungen!$C$4,1,1)+1,(MATCH($B24,Einstellungen!$B$13:$B$17,0)-1)*10+1))</f>
        <v/>
      </c>
      <c r="X24" s="41" t="str">
        <f aca="false">IF(OR(X$4="",$B24=""),"",INDEX(Jahr!$D$5:$BA$370,X$4-DATE(Einstellungen!$C$4,1,1)+1,(MATCH($B24,Einstellungen!$B$13:$B$17,0)-1)*10+1))</f>
        <v/>
      </c>
      <c r="Y24" s="41" t="str">
        <f aca="false">IF(OR(Y$4="",$B24=""),"",INDEX(Jahr!$D$5:$BA$370,Y$4-DATE(Einstellungen!$C$4,1,1)+1,(MATCH($B24,Einstellungen!$B$13:$B$17,0)-1)*10+1))</f>
        <v/>
      </c>
      <c r="Z24" s="41" t="str">
        <f aca="false">IF(OR(Z$4="",$B24=""),"",INDEX(Jahr!$D$5:$BA$370,Z$4-DATE(Einstellungen!$C$4,1,1)+1,(MATCH($B24,Einstellungen!$B$13:$B$17,0)-1)*10+1))</f>
        <v/>
      </c>
      <c r="AA24" s="41" t="str">
        <f aca="false">IF(OR(AA$4="",$B24=""),"",INDEX(Jahr!$D$5:$BA$370,AA$4-DATE(Einstellungen!$C$4,1,1)+1,(MATCH($B24,Einstellungen!$B$13:$B$17,0)-1)*10+1))</f>
        <v/>
      </c>
      <c r="AB24" s="41" t="str">
        <f aca="false">IF(OR(AB$4="",$B24=""),"",INDEX(Jahr!$D$5:$BA$370,AB$4-DATE(Einstellungen!$C$4,1,1)+1,(MATCH($B24,Einstellungen!$B$13:$B$17,0)-1)*10+1))</f>
        <v/>
      </c>
      <c r="AC24" s="41" t="str">
        <f aca="false">IF(OR(AC$4="",$B24=""),"",INDEX(Jahr!$D$5:$BA$370,AC$4-DATE(Einstellungen!$C$4,1,1)+1,(MATCH($B24,Einstellungen!$B$13:$B$17,0)-1)*10+1))</f>
        <v/>
      </c>
      <c r="AD24" s="41" t="str">
        <f aca="false">IF(OR(AD$4="",$B24=""),"",INDEX(Jahr!$D$5:$BA$370,AD$4-DATE(Einstellungen!$C$4,1,1)+1,(MATCH($B24,Einstellungen!$B$13:$B$17,0)-1)*10+1))</f>
        <v/>
      </c>
      <c r="AE24" s="41" t="str">
        <f aca="false">IF(OR(AE$4="",$B24=""),"",INDEX(Jahr!$D$5:$BA$370,AE$4-DATE(Einstellungen!$C$4,1,1)+1,(MATCH($B24,Einstellungen!$B$13:$B$17,0)-1)*10+1))</f>
        <v/>
      </c>
      <c r="AF24" s="41" t="str">
        <f aca="false">IF(OR(AF$4="",$B24=""),"",INDEX(Jahr!$D$5:$BA$370,AF$4-DATE(Einstellungen!$C$4,1,1)+1,(MATCH($B24,Einstellungen!$B$13:$B$17,0)-1)*10+1))</f>
        <v/>
      </c>
      <c r="AG24" s="41" t="str">
        <f aca="false">IF(OR(AG$4="",$B24=""),"",INDEX(Jahr!$D$5:$BA$370,AG$4-DATE(Einstellungen!$C$4,1,1)+1,(MATCH($B24,Einstellungen!$B$13:$B$17,0)-1)*10+1))</f>
        <v/>
      </c>
      <c r="AH24" s="42" t="str">
        <f aca="false">IF($B24="","",SUMPRODUCT(--(SUMIF(Schichten!$A$5:$A$24,$C24:$AG24,Schichten!$F$5:$F$24)&gt;0)))</f>
        <v/>
      </c>
      <c r="AI24" s="43" t="str">
        <f aca="false">IF($B24="","",SUMPRODUCT(SUMIF(Schichten!$A$5:$A$24,$C24:$AG24,Schichten!$F$5:$F$24)))</f>
        <v/>
      </c>
      <c r="AJ24" s="42" t="str">
        <f aca="false">IF($B24="","",SUMPRODUCT(--(SUMIF(Schichten!$A$5:$A$24,$C24:$AG24,Schichten!$G$5:$G$24)&gt;0)))</f>
        <v/>
      </c>
      <c r="AK24" s="44" t="str">
        <f aca="false">IF($B24="","",SUMPRODUCT(SUMIF(Schichten!$A$5:$A$24,$C24:$AG24,Schichten!$G$5:$G$24)))</f>
        <v/>
      </c>
    </row>
    <row r="25" customFormat="false" ht="15" hidden="false" customHeight="false" outlineLevel="0" collapsed="false">
      <c r="A25" s="40"/>
      <c r="B25" s="15"/>
      <c r="C25" s="41" t="str">
        <f aca="false">IF(OR(C$4="",$B25=""),"",INDEX(Jahr!$D$5:$BA$370,C$4-DATE(Einstellungen!$C$4,1,1)+1,(MATCH($B25,Einstellungen!$B$13:$B$17,0)-1)*10+1))</f>
        <v/>
      </c>
      <c r="D25" s="41" t="str">
        <f aca="false">IF(OR(D$4="",$B25=""),"",INDEX(Jahr!$D$5:$BA$370,D$4-DATE(Einstellungen!$C$4,1,1)+1,(MATCH($B25,Einstellungen!$B$13:$B$17,0)-1)*10+1))</f>
        <v/>
      </c>
      <c r="E25" s="41" t="str">
        <f aca="false">IF(OR(E$4="",$B25=""),"",INDEX(Jahr!$D$5:$BA$370,E$4-DATE(Einstellungen!$C$4,1,1)+1,(MATCH($B25,Einstellungen!$B$13:$B$17,0)-1)*10+1))</f>
        <v/>
      </c>
      <c r="F25" s="41" t="str">
        <f aca="false">IF(OR(F$4="",$B25=""),"",INDEX(Jahr!$D$5:$BA$370,F$4-DATE(Einstellungen!$C$4,1,1)+1,(MATCH($B25,Einstellungen!$B$13:$B$17,0)-1)*10+1))</f>
        <v/>
      </c>
      <c r="G25" s="41" t="str">
        <f aca="false">IF(OR(G$4="",$B25=""),"",INDEX(Jahr!$D$5:$BA$370,G$4-DATE(Einstellungen!$C$4,1,1)+1,(MATCH($B25,Einstellungen!$B$13:$B$17,0)-1)*10+1))</f>
        <v/>
      </c>
      <c r="H25" s="41" t="str">
        <f aca="false">IF(OR(H$4="",$B25=""),"",INDEX(Jahr!$D$5:$BA$370,H$4-DATE(Einstellungen!$C$4,1,1)+1,(MATCH($B25,Einstellungen!$B$13:$B$17,0)-1)*10+1))</f>
        <v/>
      </c>
      <c r="I25" s="41" t="str">
        <f aca="false">IF(OR(I$4="",$B25=""),"",INDEX(Jahr!$D$5:$BA$370,I$4-DATE(Einstellungen!$C$4,1,1)+1,(MATCH($B25,Einstellungen!$B$13:$B$17,0)-1)*10+1))</f>
        <v/>
      </c>
      <c r="J25" s="41" t="str">
        <f aca="false">IF(OR(J$4="",$B25=""),"",INDEX(Jahr!$D$5:$BA$370,J$4-DATE(Einstellungen!$C$4,1,1)+1,(MATCH($B25,Einstellungen!$B$13:$B$17,0)-1)*10+1))</f>
        <v/>
      </c>
      <c r="K25" s="41" t="str">
        <f aca="false">IF(OR(K$4="",$B25=""),"",INDEX(Jahr!$D$5:$BA$370,K$4-DATE(Einstellungen!$C$4,1,1)+1,(MATCH($B25,Einstellungen!$B$13:$B$17,0)-1)*10+1))</f>
        <v/>
      </c>
      <c r="L25" s="41" t="str">
        <f aca="false">IF(OR(L$4="",$B25=""),"",INDEX(Jahr!$D$5:$BA$370,L$4-DATE(Einstellungen!$C$4,1,1)+1,(MATCH($B25,Einstellungen!$B$13:$B$17,0)-1)*10+1))</f>
        <v/>
      </c>
      <c r="M25" s="41" t="str">
        <f aca="false">IF(OR(M$4="",$B25=""),"",INDEX(Jahr!$D$5:$BA$370,M$4-DATE(Einstellungen!$C$4,1,1)+1,(MATCH($B25,Einstellungen!$B$13:$B$17,0)-1)*10+1))</f>
        <v/>
      </c>
      <c r="N25" s="41" t="str">
        <f aca="false">IF(OR(N$4="",$B25=""),"",INDEX(Jahr!$D$5:$BA$370,N$4-DATE(Einstellungen!$C$4,1,1)+1,(MATCH($B25,Einstellungen!$B$13:$B$17,0)-1)*10+1))</f>
        <v/>
      </c>
      <c r="O25" s="41" t="str">
        <f aca="false">IF(OR(O$4="",$B25=""),"",INDEX(Jahr!$D$5:$BA$370,O$4-DATE(Einstellungen!$C$4,1,1)+1,(MATCH($B25,Einstellungen!$B$13:$B$17,0)-1)*10+1))</f>
        <v/>
      </c>
      <c r="P25" s="41" t="str">
        <f aca="false">IF(OR(P$4="",$B25=""),"",INDEX(Jahr!$D$5:$BA$370,P$4-DATE(Einstellungen!$C$4,1,1)+1,(MATCH($B25,Einstellungen!$B$13:$B$17,0)-1)*10+1))</f>
        <v/>
      </c>
      <c r="Q25" s="41" t="str">
        <f aca="false">IF(OR(Q$4="",$B25=""),"",INDEX(Jahr!$D$5:$BA$370,Q$4-DATE(Einstellungen!$C$4,1,1)+1,(MATCH($B25,Einstellungen!$B$13:$B$17,0)-1)*10+1))</f>
        <v/>
      </c>
      <c r="R25" s="41" t="str">
        <f aca="false">IF(OR(R$4="",$B25=""),"",INDEX(Jahr!$D$5:$BA$370,R$4-DATE(Einstellungen!$C$4,1,1)+1,(MATCH($B25,Einstellungen!$B$13:$B$17,0)-1)*10+1))</f>
        <v/>
      </c>
      <c r="S25" s="41" t="str">
        <f aca="false">IF(OR(S$4="",$B25=""),"",INDEX(Jahr!$D$5:$BA$370,S$4-DATE(Einstellungen!$C$4,1,1)+1,(MATCH($B25,Einstellungen!$B$13:$B$17,0)-1)*10+1))</f>
        <v/>
      </c>
      <c r="T25" s="41" t="str">
        <f aca="false">IF(OR(T$4="",$B25=""),"",INDEX(Jahr!$D$5:$BA$370,T$4-DATE(Einstellungen!$C$4,1,1)+1,(MATCH($B25,Einstellungen!$B$13:$B$17,0)-1)*10+1))</f>
        <v/>
      </c>
      <c r="U25" s="41" t="str">
        <f aca="false">IF(OR(U$4="",$B25=""),"",INDEX(Jahr!$D$5:$BA$370,U$4-DATE(Einstellungen!$C$4,1,1)+1,(MATCH($B25,Einstellungen!$B$13:$B$17,0)-1)*10+1))</f>
        <v/>
      </c>
      <c r="V25" s="41" t="str">
        <f aca="false">IF(OR(V$4="",$B25=""),"",INDEX(Jahr!$D$5:$BA$370,V$4-DATE(Einstellungen!$C$4,1,1)+1,(MATCH($B25,Einstellungen!$B$13:$B$17,0)-1)*10+1))</f>
        <v/>
      </c>
      <c r="W25" s="41" t="str">
        <f aca="false">IF(OR(W$4="",$B25=""),"",INDEX(Jahr!$D$5:$BA$370,W$4-DATE(Einstellungen!$C$4,1,1)+1,(MATCH($B25,Einstellungen!$B$13:$B$17,0)-1)*10+1))</f>
        <v/>
      </c>
      <c r="X25" s="41" t="str">
        <f aca="false">IF(OR(X$4="",$B25=""),"",INDEX(Jahr!$D$5:$BA$370,X$4-DATE(Einstellungen!$C$4,1,1)+1,(MATCH($B25,Einstellungen!$B$13:$B$17,0)-1)*10+1))</f>
        <v/>
      </c>
      <c r="Y25" s="41" t="str">
        <f aca="false">IF(OR(Y$4="",$B25=""),"",INDEX(Jahr!$D$5:$BA$370,Y$4-DATE(Einstellungen!$C$4,1,1)+1,(MATCH($B25,Einstellungen!$B$13:$B$17,0)-1)*10+1))</f>
        <v/>
      </c>
      <c r="Z25" s="41" t="str">
        <f aca="false">IF(OR(Z$4="",$B25=""),"",INDEX(Jahr!$D$5:$BA$370,Z$4-DATE(Einstellungen!$C$4,1,1)+1,(MATCH($B25,Einstellungen!$B$13:$B$17,0)-1)*10+1))</f>
        <v/>
      </c>
      <c r="AA25" s="41" t="str">
        <f aca="false">IF(OR(AA$4="",$B25=""),"",INDEX(Jahr!$D$5:$BA$370,AA$4-DATE(Einstellungen!$C$4,1,1)+1,(MATCH($B25,Einstellungen!$B$13:$B$17,0)-1)*10+1))</f>
        <v/>
      </c>
      <c r="AB25" s="41" t="str">
        <f aca="false">IF(OR(AB$4="",$B25=""),"",INDEX(Jahr!$D$5:$BA$370,AB$4-DATE(Einstellungen!$C$4,1,1)+1,(MATCH($B25,Einstellungen!$B$13:$B$17,0)-1)*10+1))</f>
        <v/>
      </c>
      <c r="AC25" s="41" t="str">
        <f aca="false">IF(OR(AC$4="",$B25=""),"",INDEX(Jahr!$D$5:$BA$370,AC$4-DATE(Einstellungen!$C$4,1,1)+1,(MATCH($B25,Einstellungen!$B$13:$B$17,0)-1)*10+1))</f>
        <v/>
      </c>
      <c r="AD25" s="41" t="str">
        <f aca="false">IF(OR(AD$4="",$B25=""),"",INDEX(Jahr!$D$5:$BA$370,AD$4-DATE(Einstellungen!$C$4,1,1)+1,(MATCH($B25,Einstellungen!$B$13:$B$17,0)-1)*10+1))</f>
        <v/>
      </c>
      <c r="AE25" s="41" t="str">
        <f aca="false">IF(OR(AE$4="",$B25=""),"",INDEX(Jahr!$D$5:$BA$370,AE$4-DATE(Einstellungen!$C$4,1,1)+1,(MATCH($B25,Einstellungen!$B$13:$B$17,0)-1)*10+1))</f>
        <v/>
      </c>
      <c r="AF25" s="41" t="str">
        <f aca="false">IF(OR(AF$4="",$B25=""),"",INDEX(Jahr!$D$5:$BA$370,AF$4-DATE(Einstellungen!$C$4,1,1)+1,(MATCH($B25,Einstellungen!$B$13:$B$17,0)-1)*10+1))</f>
        <v/>
      </c>
      <c r="AG25" s="41" t="str">
        <f aca="false">IF(OR(AG$4="",$B25=""),"",INDEX(Jahr!$D$5:$BA$370,AG$4-DATE(Einstellungen!$C$4,1,1)+1,(MATCH($B25,Einstellungen!$B$13:$B$17,0)-1)*10+1))</f>
        <v/>
      </c>
      <c r="AH25" s="42" t="str">
        <f aca="false">IF($B25="","",SUMPRODUCT(--(SUMIF(Schichten!$A$5:$A$24,$C25:$AG25,Schichten!$F$5:$F$24)&gt;0)))</f>
        <v/>
      </c>
      <c r="AI25" s="43" t="str">
        <f aca="false">IF($B25="","",SUMPRODUCT(SUMIF(Schichten!$A$5:$A$24,$C25:$AG25,Schichten!$F$5:$F$24)))</f>
        <v/>
      </c>
      <c r="AJ25" s="42" t="str">
        <f aca="false">IF($B25="","",SUMPRODUCT(--(SUMIF(Schichten!$A$5:$A$24,$C25:$AG25,Schichten!$G$5:$G$24)&gt;0)))</f>
        <v/>
      </c>
      <c r="AK25" s="44" t="str">
        <f aca="false">IF($B25="","",SUMPRODUCT(SUMIF(Schichten!$A$5:$A$24,$C25:$AG25,Schichten!$G$5:$G$24)))</f>
        <v/>
      </c>
    </row>
    <row r="27" customFormat="false" ht="15" hidden="false" customHeight="false" outlineLevel="0" collapsed="false">
      <c r="A27" s="12" t="s">
        <v>135</v>
      </c>
      <c r="B27" s="13" t="s">
        <v>136</v>
      </c>
    </row>
    <row r="28" customFormat="false" ht="15" hidden="false" customHeight="false" outlineLevel="0" collapsed="false">
      <c r="A28" s="13" t="s">
        <v>51</v>
      </c>
      <c r="B28" s="15" t="n">
        <v>2</v>
      </c>
      <c r="C28" s="45" t="n">
        <f aca="false">IF(C$4="","",COUNTIF(C$6:C$25,$A28))</f>
        <v>2</v>
      </c>
      <c r="D28" s="45" t="n">
        <f aca="false">IF(D$4="","",COUNTIF(D$6:D$25,$A28))</f>
        <v>2</v>
      </c>
      <c r="E28" s="45" t="n">
        <f aca="false">IF(E$4="","",COUNTIF(E$6:E$25,$A28))</f>
        <v>2</v>
      </c>
      <c r="F28" s="45" t="n">
        <f aca="false">IF(F$4="","",COUNTIF(F$6:F$25,$A28))</f>
        <v>2</v>
      </c>
      <c r="G28" s="45" t="n">
        <f aca="false">IF(G$4="","",COUNTIF(G$6:G$25,$A28))</f>
        <v>2</v>
      </c>
      <c r="H28" s="45" t="n">
        <f aca="false">IF(H$4="","",COUNTIF(H$6:H$25,$A28))</f>
        <v>2</v>
      </c>
      <c r="I28" s="45" t="n">
        <f aca="false">IF(I$4="","",COUNTIF(I$6:I$25,$A28))</f>
        <v>2</v>
      </c>
      <c r="J28" s="45" t="n">
        <f aca="false">IF(J$4="","",COUNTIF(J$6:J$25,$A28))</f>
        <v>2</v>
      </c>
      <c r="K28" s="45" t="n">
        <f aca="false">IF(K$4="","",COUNTIF(K$6:K$25,$A28))</f>
        <v>2</v>
      </c>
      <c r="L28" s="45" t="n">
        <f aca="false">IF(L$4="","",COUNTIF(L$6:L$25,$A28))</f>
        <v>2</v>
      </c>
      <c r="M28" s="45" t="n">
        <f aca="false">IF(M$4="","",COUNTIF(M$6:M$25,$A28))</f>
        <v>2</v>
      </c>
      <c r="N28" s="45" t="n">
        <f aca="false">IF(N$4="","",COUNTIF(N$6:N$25,$A28))</f>
        <v>2</v>
      </c>
      <c r="O28" s="45" t="n">
        <f aca="false">IF(O$4="","",COUNTIF(O$6:O$25,$A28))</f>
        <v>2</v>
      </c>
      <c r="P28" s="45" t="n">
        <f aca="false">IF(P$4="","",COUNTIF(P$6:P$25,$A28))</f>
        <v>2</v>
      </c>
      <c r="Q28" s="45" t="n">
        <f aca="false">IF(Q$4="","",COUNTIF(Q$6:Q$25,$A28))</f>
        <v>2</v>
      </c>
      <c r="R28" s="45" t="n">
        <f aca="false">IF(R$4="","",COUNTIF(R$6:R$25,$A28))</f>
        <v>2</v>
      </c>
      <c r="S28" s="45" t="n">
        <f aca="false">IF(S$4="","",COUNTIF(S$6:S$25,$A28))</f>
        <v>2</v>
      </c>
      <c r="T28" s="45" t="n">
        <f aca="false">IF(T$4="","",COUNTIF(T$6:T$25,$A28))</f>
        <v>2</v>
      </c>
      <c r="U28" s="45" t="n">
        <f aca="false">IF(U$4="","",COUNTIF(U$6:U$25,$A28))</f>
        <v>2</v>
      </c>
      <c r="V28" s="45" t="n">
        <f aca="false">IF(V$4="","",COUNTIF(V$6:V$25,$A28))</f>
        <v>2</v>
      </c>
      <c r="W28" s="45" t="n">
        <f aca="false">IF(W$4="","",COUNTIF(W$6:W$25,$A28))</f>
        <v>2</v>
      </c>
      <c r="X28" s="45" t="n">
        <f aca="false">IF(X$4="","",COUNTIF(X$6:X$25,$A28))</f>
        <v>2</v>
      </c>
      <c r="Y28" s="45" t="n">
        <f aca="false">IF(Y$4="","",COUNTIF(Y$6:Y$25,$A28))</f>
        <v>2</v>
      </c>
      <c r="Z28" s="45" t="n">
        <f aca="false">IF(Z$4="","",COUNTIF(Z$6:Z$25,$A28))</f>
        <v>2</v>
      </c>
      <c r="AA28" s="45" t="n">
        <f aca="false">IF(AA$4="","",COUNTIF(AA$6:AA$25,$A28))</f>
        <v>2</v>
      </c>
      <c r="AB28" s="45" t="n">
        <f aca="false">IF(AB$4="","",COUNTIF(AB$6:AB$25,$A28))</f>
        <v>2</v>
      </c>
      <c r="AC28" s="45" t="n">
        <f aca="false">IF(AC$4="","",COUNTIF(AC$6:AC$25,$A28))</f>
        <v>2</v>
      </c>
      <c r="AD28" s="45" t="n">
        <f aca="false">IF(AD$4="","",COUNTIF(AD$6:AD$25,$A28))</f>
        <v>2</v>
      </c>
      <c r="AE28" s="45" t="n">
        <f aca="false">IF(AE$4="","",COUNTIF(AE$6:AE$25,$A28))</f>
        <v>2</v>
      </c>
      <c r="AF28" s="45" t="n">
        <f aca="false">IF(AF$4="","",COUNTIF(AF$6:AF$25,$A28))</f>
        <v>2</v>
      </c>
      <c r="AG28" s="45" t="n">
        <f aca="false">IF(AG$4="","",COUNTIF(AG$6:AG$25,$A28))</f>
        <v>2</v>
      </c>
    </row>
    <row r="29" customFormat="false" ht="15" hidden="false" customHeight="false" outlineLevel="0" collapsed="false">
      <c r="A29" s="13" t="s">
        <v>53</v>
      </c>
      <c r="B29" s="15" t="n">
        <v>2</v>
      </c>
      <c r="C29" s="45" t="n">
        <f aca="false">IF(C$4="","",COUNTIF(C$6:C$25,$A29))</f>
        <v>2</v>
      </c>
      <c r="D29" s="45" t="n">
        <f aca="false">IF(D$4="","",COUNTIF(D$6:D$25,$A29))</f>
        <v>2</v>
      </c>
      <c r="E29" s="45" t="n">
        <f aca="false">IF(E$4="","",COUNTIF(E$6:E$25,$A29))</f>
        <v>2</v>
      </c>
      <c r="F29" s="45" t="n">
        <f aca="false">IF(F$4="","",COUNTIF(F$6:F$25,$A29))</f>
        <v>2</v>
      </c>
      <c r="G29" s="45" t="n">
        <f aca="false">IF(G$4="","",COUNTIF(G$6:G$25,$A29))</f>
        <v>2</v>
      </c>
      <c r="H29" s="45" t="n">
        <f aca="false">IF(H$4="","",COUNTIF(H$6:H$25,$A29))</f>
        <v>2</v>
      </c>
      <c r="I29" s="45" t="n">
        <f aca="false">IF(I$4="","",COUNTIF(I$6:I$25,$A29))</f>
        <v>2</v>
      </c>
      <c r="J29" s="45" t="n">
        <f aca="false">IF(J$4="","",COUNTIF(J$6:J$25,$A29))</f>
        <v>2</v>
      </c>
      <c r="K29" s="45" t="n">
        <f aca="false">IF(K$4="","",COUNTIF(K$6:K$25,$A29))</f>
        <v>2</v>
      </c>
      <c r="L29" s="45" t="n">
        <f aca="false">IF(L$4="","",COUNTIF(L$6:L$25,$A29))</f>
        <v>2</v>
      </c>
      <c r="M29" s="45" t="n">
        <f aca="false">IF(M$4="","",COUNTIF(M$6:M$25,$A29))</f>
        <v>2</v>
      </c>
      <c r="N29" s="45" t="n">
        <f aca="false">IF(N$4="","",COUNTIF(N$6:N$25,$A29))</f>
        <v>2</v>
      </c>
      <c r="O29" s="45" t="n">
        <f aca="false">IF(O$4="","",COUNTIF(O$6:O$25,$A29))</f>
        <v>2</v>
      </c>
      <c r="P29" s="45" t="n">
        <f aca="false">IF(P$4="","",COUNTIF(P$6:P$25,$A29))</f>
        <v>2</v>
      </c>
      <c r="Q29" s="45" t="n">
        <f aca="false">IF(Q$4="","",COUNTIF(Q$6:Q$25,$A29))</f>
        <v>2</v>
      </c>
      <c r="R29" s="45" t="n">
        <f aca="false">IF(R$4="","",COUNTIF(R$6:R$25,$A29))</f>
        <v>2</v>
      </c>
      <c r="S29" s="45" t="n">
        <f aca="false">IF(S$4="","",COUNTIF(S$6:S$25,$A29))</f>
        <v>2</v>
      </c>
      <c r="T29" s="45" t="n">
        <f aca="false">IF(T$4="","",COUNTIF(T$6:T$25,$A29))</f>
        <v>2</v>
      </c>
      <c r="U29" s="45" t="n">
        <f aca="false">IF(U$4="","",COUNTIF(U$6:U$25,$A29))</f>
        <v>2</v>
      </c>
      <c r="V29" s="45" t="n">
        <f aca="false">IF(V$4="","",COUNTIF(V$6:V$25,$A29))</f>
        <v>2</v>
      </c>
      <c r="W29" s="45" t="n">
        <f aca="false">IF(W$4="","",COUNTIF(W$6:W$25,$A29))</f>
        <v>2</v>
      </c>
      <c r="X29" s="45" t="n">
        <f aca="false">IF(X$4="","",COUNTIF(X$6:X$25,$A29))</f>
        <v>2</v>
      </c>
      <c r="Y29" s="45" t="n">
        <f aca="false">IF(Y$4="","",COUNTIF(Y$6:Y$25,$A29))</f>
        <v>2</v>
      </c>
      <c r="Z29" s="45" t="n">
        <f aca="false">IF(Z$4="","",COUNTIF(Z$6:Z$25,$A29))</f>
        <v>2</v>
      </c>
      <c r="AA29" s="45" t="n">
        <f aca="false">IF(AA$4="","",COUNTIF(AA$6:AA$25,$A29))</f>
        <v>2</v>
      </c>
      <c r="AB29" s="45" t="n">
        <f aca="false">IF(AB$4="","",COUNTIF(AB$6:AB$25,$A29))</f>
        <v>2</v>
      </c>
      <c r="AC29" s="45" t="n">
        <f aca="false">IF(AC$4="","",COUNTIF(AC$6:AC$25,$A29))</f>
        <v>2</v>
      </c>
      <c r="AD29" s="45" t="n">
        <f aca="false">IF(AD$4="","",COUNTIF(AD$6:AD$25,$A29))</f>
        <v>2</v>
      </c>
      <c r="AE29" s="45" t="n">
        <f aca="false">IF(AE$4="","",COUNTIF(AE$6:AE$25,$A29))</f>
        <v>2</v>
      </c>
      <c r="AF29" s="45" t="n">
        <f aca="false">IF(AF$4="","",COUNTIF(AF$6:AF$25,$A29))</f>
        <v>2</v>
      </c>
      <c r="AG29" s="45" t="n">
        <f aca="false">IF(AG$4="","",COUNTIF(AG$6:AG$25,$A29))</f>
        <v>2</v>
      </c>
    </row>
    <row r="30" customFormat="false" ht="15" hidden="false" customHeight="false" outlineLevel="0" collapsed="false">
      <c r="A30" s="13" t="s">
        <v>55</v>
      </c>
      <c r="B30" s="15" t="n">
        <v>2</v>
      </c>
      <c r="C30" s="45" t="n">
        <f aca="false">IF(C$4="","",COUNTIF(C$6:C$25,$A30))</f>
        <v>2</v>
      </c>
      <c r="D30" s="45" t="n">
        <f aca="false">IF(D$4="","",COUNTIF(D$6:D$25,$A30))</f>
        <v>2</v>
      </c>
      <c r="E30" s="45" t="n">
        <f aca="false">IF(E$4="","",COUNTIF(E$6:E$25,$A30))</f>
        <v>2</v>
      </c>
      <c r="F30" s="45" t="n">
        <f aca="false">IF(F$4="","",COUNTIF(F$6:F$25,$A30))</f>
        <v>2</v>
      </c>
      <c r="G30" s="45" t="n">
        <f aca="false">IF(G$4="","",COUNTIF(G$6:G$25,$A30))</f>
        <v>2</v>
      </c>
      <c r="H30" s="45" t="n">
        <f aca="false">IF(H$4="","",COUNTIF(H$6:H$25,$A30))</f>
        <v>2</v>
      </c>
      <c r="I30" s="45" t="n">
        <f aca="false">IF(I$4="","",COUNTIF(I$6:I$25,$A30))</f>
        <v>2</v>
      </c>
      <c r="J30" s="45" t="n">
        <f aca="false">IF(J$4="","",COUNTIF(J$6:J$25,$A30))</f>
        <v>2</v>
      </c>
      <c r="K30" s="45" t="n">
        <f aca="false">IF(K$4="","",COUNTIF(K$6:K$25,$A30))</f>
        <v>2</v>
      </c>
      <c r="L30" s="45" t="n">
        <f aca="false">IF(L$4="","",COUNTIF(L$6:L$25,$A30))</f>
        <v>2</v>
      </c>
      <c r="M30" s="45" t="n">
        <f aca="false">IF(M$4="","",COUNTIF(M$6:M$25,$A30))</f>
        <v>2</v>
      </c>
      <c r="N30" s="45" t="n">
        <f aca="false">IF(N$4="","",COUNTIF(N$6:N$25,$A30))</f>
        <v>2</v>
      </c>
      <c r="O30" s="45" t="n">
        <f aca="false">IF(O$4="","",COUNTIF(O$6:O$25,$A30))</f>
        <v>2</v>
      </c>
      <c r="P30" s="45" t="n">
        <f aca="false">IF(P$4="","",COUNTIF(P$6:P$25,$A30))</f>
        <v>2</v>
      </c>
      <c r="Q30" s="45" t="n">
        <f aca="false">IF(Q$4="","",COUNTIF(Q$6:Q$25,$A30))</f>
        <v>2</v>
      </c>
      <c r="R30" s="45" t="n">
        <f aca="false">IF(R$4="","",COUNTIF(R$6:R$25,$A30))</f>
        <v>2</v>
      </c>
      <c r="S30" s="45" t="n">
        <f aca="false">IF(S$4="","",COUNTIF(S$6:S$25,$A30))</f>
        <v>2</v>
      </c>
      <c r="T30" s="45" t="n">
        <f aca="false">IF(T$4="","",COUNTIF(T$6:T$25,$A30))</f>
        <v>2</v>
      </c>
      <c r="U30" s="45" t="n">
        <f aca="false">IF(U$4="","",COUNTIF(U$6:U$25,$A30))</f>
        <v>2</v>
      </c>
      <c r="V30" s="45" t="n">
        <f aca="false">IF(V$4="","",COUNTIF(V$6:V$25,$A30))</f>
        <v>2</v>
      </c>
      <c r="W30" s="45" t="n">
        <f aca="false">IF(W$4="","",COUNTIF(W$6:W$25,$A30))</f>
        <v>2</v>
      </c>
      <c r="X30" s="45" t="n">
        <f aca="false">IF(X$4="","",COUNTIF(X$6:X$25,$A30))</f>
        <v>2</v>
      </c>
      <c r="Y30" s="45" t="n">
        <f aca="false">IF(Y$4="","",COUNTIF(Y$6:Y$25,$A30))</f>
        <v>2</v>
      </c>
      <c r="Z30" s="45" t="n">
        <f aca="false">IF(Z$4="","",COUNTIF(Z$6:Z$25,$A30))</f>
        <v>2</v>
      </c>
      <c r="AA30" s="45" t="n">
        <f aca="false">IF(AA$4="","",COUNTIF(AA$6:AA$25,$A30))</f>
        <v>2</v>
      </c>
      <c r="AB30" s="45" t="n">
        <f aca="false">IF(AB$4="","",COUNTIF(AB$6:AB$25,$A30))</f>
        <v>2</v>
      </c>
      <c r="AC30" s="45" t="n">
        <f aca="false">IF(AC$4="","",COUNTIF(AC$6:AC$25,$A30))</f>
        <v>2</v>
      </c>
      <c r="AD30" s="45" t="n">
        <f aca="false">IF(AD$4="","",COUNTIF(AD$6:AD$25,$A30))</f>
        <v>2</v>
      </c>
      <c r="AE30" s="45" t="n">
        <f aca="false">IF(AE$4="","",COUNTIF(AE$6:AE$25,$A30))</f>
        <v>2</v>
      </c>
      <c r="AF30" s="45" t="n">
        <f aca="false">IF(AF$4="","",COUNTIF(AF$6:AF$25,$A30))</f>
        <v>2</v>
      </c>
      <c r="AG30" s="45" t="n">
        <f aca="false">IF(AG$4="","",COUNTIF(AG$6:AG$25,$A30))</f>
        <v>2</v>
      </c>
    </row>
    <row r="31" customFormat="false" ht="15" hidden="false" customHeight="false" outlineLevel="0" collapsed="false">
      <c r="A31" s="13" t="s">
        <v>57</v>
      </c>
      <c r="B31" s="15" t="n">
        <v>0</v>
      </c>
      <c r="C31" s="45" t="n">
        <f aca="false">IF(C$4="","",COUNTIF(C$6:C$25,$A31))</f>
        <v>0</v>
      </c>
      <c r="D31" s="45" t="n">
        <f aca="false">IF(D$4="","",COUNTIF(D$6:D$25,$A31))</f>
        <v>0</v>
      </c>
      <c r="E31" s="45" t="n">
        <f aca="false">IF(E$4="","",COUNTIF(E$6:E$25,$A31))</f>
        <v>0</v>
      </c>
      <c r="F31" s="45" t="n">
        <f aca="false">IF(F$4="","",COUNTIF(F$6:F$25,$A31))</f>
        <v>0</v>
      </c>
      <c r="G31" s="45" t="n">
        <f aca="false">IF(G$4="","",COUNTIF(G$6:G$25,$A31))</f>
        <v>0</v>
      </c>
      <c r="H31" s="45" t="n">
        <f aca="false">IF(H$4="","",COUNTIF(H$6:H$25,$A31))</f>
        <v>0</v>
      </c>
      <c r="I31" s="45" t="n">
        <f aca="false">IF(I$4="","",COUNTIF(I$6:I$25,$A31))</f>
        <v>0</v>
      </c>
      <c r="J31" s="45" t="n">
        <f aca="false">IF(J$4="","",COUNTIF(J$6:J$25,$A31))</f>
        <v>0</v>
      </c>
      <c r="K31" s="45" t="n">
        <f aca="false">IF(K$4="","",COUNTIF(K$6:K$25,$A31))</f>
        <v>0</v>
      </c>
      <c r="L31" s="45" t="n">
        <f aca="false">IF(L$4="","",COUNTIF(L$6:L$25,$A31))</f>
        <v>0</v>
      </c>
      <c r="M31" s="45" t="n">
        <f aca="false">IF(M$4="","",COUNTIF(M$6:M$25,$A31))</f>
        <v>0</v>
      </c>
      <c r="N31" s="45" t="n">
        <f aca="false">IF(N$4="","",COUNTIF(N$6:N$25,$A31))</f>
        <v>0</v>
      </c>
      <c r="O31" s="45" t="n">
        <f aca="false">IF(O$4="","",COUNTIF(O$6:O$25,$A31))</f>
        <v>0</v>
      </c>
      <c r="P31" s="45" t="n">
        <f aca="false">IF(P$4="","",COUNTIF(P$6:P$25,$A31))</f>
        <v>0</v>
      </c>
      <c r="Q31" s="45" t="n">
        <f aca="false">IF(Q$4="","",COUNTIF(Q$6:Q$25,$A31))</f>
        <v>0</v>
      </c>
      <c r="R31" s="45" t="n">
        <f aca="false">IF(R$4="","",COUNTIF(R$6:R$25,$A31))</f>
        <v>0</v>
      </c>
      <c r="S31" s="45" t="n">
        <f aca="false">IF(S$4="","",COUNTIF(S$6:S$25,$A31))</f>
        <v>0</v>
      </c>
      <c r="T31" s="45" t="n">
        <f aca="false">IF(T$4="","",COUNTIF(T$6:T$25,$A31))</f>
        <v>0</v>
      </c>
      <c r="U31" s="45" t="n">
        <f aca="false">IF(U$4="","",COUNTIF(U$6:U$25,$A31))</f>
        <v>0</v>
      </c>
      <c r="V31" s="45" t="n">
        <f aca="false">IF(V$4="","",COUNTIF(V$6:V$25,$A31))</f>
        <v>0</v>
      </c>
      <c r="W31" s="45" t="n">
        <f aca="false">IF(W$4="","",COUNTIF(W$6:W$25,$A31))</f>
        <v>0</v>
      </c>
      <c r="X31" s="45" t="n">
        <f aca="false">IF(X$4="","",COUNTIF(X$6:X$25,$A31))</f>
        <v>0</v>
      </c>
      <c r="Y31" s="45" t="n">
        <f aca="false">IF(Y$4="","",COUNTIF(Y$6:Y$25,$A31))</f>
        <v>0</v>
      </c>
      <c r="Z31" s="45" t="n">
        <f aca="false">IF(Z$4="","",COUNTIF(Z$6:Z$25,$A31))</f>
        <v>0</v>
      </c>
      <c r="AA31" s="45" t="n">
        <f aca="false">IF(AA$4="","",COUNTIF(AA$6:AA$25,$A31))</f>
        <v>0</v>
      </c>
      <c r="AB31" s="45" t="n">
        <f aca="false">IF(AB$4="","",COUNTIF(AB$6:AB$25,$A31))</f>
        <v>0</v>
      </c>
      <c r="AC31" s="45" t="n">
        <f aca="false">IF(AC$4="","",COUNTIF(AC$6:AC$25,$A31))</f>
        <v>0</v>
      </c>
      <c r="AD31" s="45" t="n">
        <f aca="false">IF(AD$4="","",COUNTIF(AD$6:AD$25,$A31))</f>
        <v>0</v>
      </c>
      <c r="AE31" s="45" t="n">
        <f aca="false">IF(AE$4="","",COUNTIF(AE$6:AE$25,$A31))</f>
        <v>0</v>
      </c>
      <c r="AF31" s="45" t="n">
        <f aca="false">IF(AF$4="","",COUNTIF(AF$6:AF$25,$A31))</f>
        <v>0</v>
      </c>
      <c r="AG31" s="45" t="n">
        <f aca="false">IF(AG$4="","",COUNTIF(AG$6:AG$25,$A31))</f>
        <v>0</v>
      </c>
    </row>
    <row r="32" customFormat="false" ht="15" hidden="false" customHeight="false" outlineLevel="0" collapsed="false">
      <c r="A32" s="13" t="s">
        <v>59</v>
      </c>
      <c r="B32" s="15" t="n">
        <v>0</v>
      </c>
      <c r="C32" s="45" t="n">
        <f aca="false">IF(C$4="","",COUNTIF(C$6:C$25,$A32))</f>
        <v>0</v>
      </c>
      <c r="D32" s="45" t="n">
        <f aca="false">IF(D$4="","",COUNTIF(D$6:D$25,$A32))</f>
        <v>0</v>
      </c>
      <c r="E32" s="45" t="n">
        <f aca="false">IF(E$4="","",COUNTIF(E$6:E$25,$A32))</f>
        <v>0</v>
      </c>
      <c r="F32" s="45" t="n">
        <f aca="false">IF(F$4="","",COUNTIF(F$6:F$25,$A32))</f>
        <v>0</v>
      </c>
      <c r="G32" s="45" t="n">
        <f aca="false">IF(G$4="","",COUNTIF(G$6:G$25,$A32))</f>
        <v>0</v>
      </c>
      <c r="H32" s="45" t="n">
        <f aca="false">IF(H$4="","",COUNTIF(H$6:H$25,$A32))</f>
        <v>0</v>
      </c>
      <c r="I32" s="45" t="n">
        <f aca="false">IF(I$4="","",COUNTIF(I$6:I$25,$A32))</f>
        <v>0</v>
      </c>
      <c r="J32" s="45" t="n">
        <f aca="false">IF(J$4="","",COUNTIF(J$6:J$25,$A32))</f>
        <v>0</v>
      </c>
      <c r="K32" s="45" t="n">
        <f aca="false">IF(K$4="","",COUNTIF(K$6:K$25,$A32))</f>
        <v>0</v>
      </c>
      <c r="L32" s="45" t="n">
        <f aca="false">IF(L$4="","",COUNTIF(L$6:L$25,$A32))</f>
        <v>0</v>
      </c>
      <c r="M32" s="45" t="n">
        <f aca="false">IF(M$4="","",COUNTIF(M$6:M$25,$A32))</f>
        <v>0</v>
      </c>
      <c r="N32" s="45" t="n">
        <f aca="false">IF(N$4="","",COUNTIF(N$6:N$25,$A32))</f>
        <v>0</v>
      </c>
      <c r="O32" s="45" t="n">
        <f aca="false">IF(O$4="","",COUNTIF(O$6:O$25,$A32))</f>
        <v>0</v>
      </c>
      <c r="P32" s="45" t="n">
        <f aca="false">IF(P$4="","",COUNTIF(P$6:P$25,$A32))</f>
        <v>0</v>
      </c>
      <c r="Q32" s="45" t="n">
        <f aca="false">IF(Q$4="","",COUNTIF(Q$6:Q$25,$A32))</f>
        <v>0</v>
      </c>
      <c r="R32" s="45" t="n">
        <f aca="false">IF(R$4="","",COUNTIF(R$6:R$25,$A32))</f>
        <v>0</v>
      </c>
      <c r="S32" s="45" t="n">
        <f aca="false">IF(S$4="","",COUNTIF(S$6:S$25,$A32))</f>
        <v>0</v>
      </c>
      <c r="T32" s="45" t="n">
        <f aca="false">IF(T$4="","",COUNTIF(T$6:T$25,$A32))</f>
        <v>0</v>
      </c>
      <c r="U32" s="45" t="n">
        <f aca="false">IF(U$4="","",COUNTIF(U$6:U$25,$A32))</f>
        <v>0</v>
      </c>
      <c r="V32" s="45" t="n">
        <f aca="false">IF(V$4="","",COUNTIF(V$6:V$25,$A32))</f>
        <v>0</v>
      </c>
      <c r="W32" s="45" t="n">
        <f aca="false">IF(W$4="","",COUNTIF(W$6:W$25,$A32))</f>
        <v>0</v>
      </c>
      <c r="X32" s="45" t="n">
        <f aca="false">IF(X$4="","",COUNTIF(X$6:X$25,$A32))</f>
        <v>0</v>
      </c>
      <c r="Y32" s="45" t="n">
        <f aca="false">IF(Y$4="","",COUNTIF(Y$6:Y$25,$A32))</f>
        <v>0</v>
      </c>
      <c r="Z32" s="45" t="n">
        <f aca="false">IF(Z$4="","",COUNTIF(Z$6:Z$25,$A32))</f>
        <v>0</v>
      </c>
      <c r="AA32" s="45" t="n">
        <f aca="false">IF(AA$4="","",COUNTIF(AA$6:AA$25,$A32))</f>
        <v>0</v>
      </c>
      <c r="AB32" s="45" t="n">
        <f aca="false">IF(AB$4="","",COUNTIF(AB$6:AB$25,$A32))</f>
        <v>0</v>
      </c>
      <c r="AC32" s="45" t="n">
        <f aca="false">IF(AC$4="","",COUNTIF(AC$6:AC$25,$A32))</f>
        <v>0</v>
      </c>
      <c r="AD32" s="45" t="n">
        <f aca="false">IF(AD$4="","",COUNTIF(AD$6:AD$25,$A32))</f>
        <v>0</v>
      </c>
      <c r="AE32" s="45" t="n">
        <f aca="false">IF(AE$4="","",COUNTIF(AE$6:AE$25,$A32))</f>
        <v>0</v>
      </c>
      <c r="AF32" s="45" t="n">
        <f aca="false">IF(AF$4="","",COUNTIF(AF$6:AF$25,$A32))</f>
        <v>0</v>
      </c>
      <c r="AG32" s="45" t="n">
        <f aca="false">IF(AG$4="","",COUNTIF(AG$6:AG$25,$A32))</f>
        <v>0</v>
      </c>
    </row>
    <row r="34" customFormat="false" ht="15" hidden="false" customHeight="false" outlineLevel="0" collapsed="false">
      <c r="A34" s="9" t="s">
        <v>137</v>
      </c>
    </row>
  </sheetData>
  <conditionalFormatting sqref="C6:AG25">
    <cfRule type="cellIs" priority="2" operator="equal" aboveAverage="0" equalAverage="0" bottom="0" percent="0" rank="0" text="" dxfId="0">
      <formula>"F"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"N"</formula>
    </cfRule>
    <cfRule type="cellIs" priority="5" operator="equal" aboveAverage="0" equalAverage="0" bottom="0" percent="0" rank="0" text="" dxfId="3">
      <formula>"T12"</formula>
    </cfRule>
    <cfRule type="cellIs" priority="6" operator="equal" aboveAverage="0" equalAverage="0" bottom="0" percent="0" rank="0" text="" dxfId="4">
      <formula>"N12"</formula>
    </cfRule>
    <cfRule type="cellIs" priority="7" operator="equal" aboveAverage="0" equalAverage="0" bottom="0" percent="0" rank="0" text="" dxfId="5">
      <formula>"-"</formula>
    </cfRule>
    <cfRule type="cellIs" priority="8" operator="equal" aboveAverage="0" equalAverage="0" bottom="0" percent="0" rank="0" text="" dxfId="6">
      <formula>"U"</formula>
    </cfRule>
  </conditionalFormatting>
  <conditionalFormatting sqref="C4:AG5">
    <cfRule type="expression" priority="9" aboveAverage="0" equalAverage="0" bottom="0" percent="0" rank="0" text="" dxfId="11">
      <formula>AND(C$4&lt;&gt;"",WEEKDAY(C$4,2)&gt;=6)</formula>
    </cfRule>
  </conditionalFormatting>
  <conditionalFormatting sqref="C28:AG28">
    <cfRule type="expression" priority="10" aboveAverage="0" equalAverage="0" bottom="0" percent="0" rank="0" text="" dxfId="8">
      <formula>AND(C$4&lt;&gt;"",C28&lt;$B28)</formula>
    </cfRule>
  </conditionalFormatting>
  <conditionalFormatting sqref="C29:AG29">
    <cfRule type="expression" priority="11" aboveAverage="0" equalAverage="0" bottom="0" percent="0" rank="0" text="" dxfId="8">
      <formula>AND(C$4&lt;&gt;"",C29&lt;$B29)</formula>
    </cfRule>
  </conditionalFormatting>
  <conditionalFormatting sqref="C30:AG30">
    <cfRule type="expression" priority="12" aboveAverage="0" equalAverage="0" bottom="0" percent="0" rank="0" text="" dxfId="8">
      <formula>AND(C$4&lt;&gt;"",C30&lt;$B30)</formula>
    </cfRule>
  </conditionalFormatting>
  <conditionalFormatting sqref="C31:AG31">
    <cfRule type="expression" priority="13" aboveAverage="0" equalAverage="0" bottom="0" percent="0" rank="0" text="" dxfId="8">
      <formula>AND(C$4&lt;&gt;"",C31&lt;$B31)</formula>
    </cfRule>
  </conditionalFormatting>
  <conditionalFormatting sqref="C32:AG32">
    <cfRule type="expression" priority="14" aboveAverage="0" equalAverage="0" bottom="0" percent="0" rank="0" text="" dxfId="8">
      <formula>AND(C$4&lt;&gt;"",C32&lt;$B32)</formula>
    </cfRule>
  </conditionalFormatting>
  <conditionalFormatting sqref="A28:A32">
    <cfRule type="cellIs" priority="15" operator="equal" aboveAverage="0" equalAverage="0" bottom="0" percent="0" rank="0" text="" dxfId="0">
      <formula>"F"</formula>
    </cfRule>
    <cfRule type="cellIs" priority="16" operator="equal" aboveAverage="0" equalAverage="0" bottom="0" percent="0" rank="0" text="" dxfId="1">
      <formula>"S"</formula>
    </cfRule>
    <cfRule type="cellIs" priority="17" operator="equal" aboveAverage="0" equalAverage="0" bottom="0" percent="0" rank="0" text="" dxfId="2">
      <formula>"N"</formula>
    </cfRule>
    <cfRule type="cellIs" priority="18" operator="equal" aboveAverage="0" equalAverage="0" bottom="0" percent="0" rank="0" text="" dxfId="3">
      <formula>"T12"</formula>
    </cfRule>
    <cfRule type="cellIs" priority="19" operator="equal" aboveAverage="0" equalAverage="0" bottom="0" percent="0" rank="0" text="" dxfId="4">
      <formula>"N12"</formula>
    </cfRule>
    <cfRule type="cellIs" priority="20" operator="equal" aboveAverage="0" equalAverage="0" bottom="0" percent="0" rank="0" text="" dxfId="5">
      <formula>"-"</formula>
    </cfRule>
    <cfRule type="cellIs" priority="21" operator="equal" aboveAverage="0" equalAverage="0" bottom="0" percent="0" rank="0" text="" dxfId="6">
      <formula>"U"</formula>
    </cfRule>
  </conditionalFormatting>
  <dataValidations count="2">
    <dataValidation allowBlank="true" error="Gruppe A bis E" errorStyle="stop" operator="between" showDropDown="false" showErrorMessage="true" showInputMessage="false" sqref="B6:B25" type="list">
      <formula1>Einstellungen!$B$13:$B$17</formula1>
      <formula2>0</formula2>
    </dataValidation>
    <dataValidation allowBlank="true" errorStyle="stop" operator="between" showDropDown="false" showErrorMessage="false" showInputMessage="false" sqref="C6:AG25" type="list">
      <formula1>Schichten!$A$5:$A$24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2026-10-19T06:45:26Z</dcterms:created>
  <dc:creator>openpyxl</dc:creator>
  <dc:description/>
  <dc:language>en-US</dc:language>
  <cp:lastModifiedBy/>
  <dcterms:modified xsi:type="dcterms:W3CDTF">2026-10-19T06:45:27Z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